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firstSheet="3" activeTab="3"/>
  </bookViews>
  <sheets>
    <sheet name="000000" sheetId="1" state="veryHidden" r:id="rId1"/>
    <sheet name="100000" sheetId="2" state="veryHidden" r:id="rId2"/>
    <sheet name="laroux" sheetId="3" state="hidden" r:id="rId3"/>
    <sheet name="отчет" sheetId="4" r:id="rId4"/>
    <sheet name="2018" sheetId="5" r:id="rId5"/>
    <sheet name="Лист2" sheetId="6" r:id="rId6"/>
    <sheet name="14-МО, Ф177" sheetId="7" r:id="rId7"/>
  </sheets>
  <definedNames>
    <definedName name="_xlfn.SUMIFS" hidden="1">#NAME?</definedName>
    <definedName name="_xlnm.Print_Area" localSheetId="4">'2018'!$A$1:$J$94</definedName>
    <definedName name="_xlnm.Print_Area" localSheetId="3">'отчет'!$A:$G</definedName>
  </definedNames>
  <calcPr fullCalcOnLoad="1"/>
</workbook>
</file>

<file path=xl/sharedStrings.xml><?xml version="1.0" encoding="utf-8"?>
<sst xmlns="http://schemas.openxmlformats.org/spreadsheetml/2006/main" count="1005" uniqueCount="419">
  <si>
    <t xml:space="preserve">Месячный отчет </t>
  </si>
  <si>
    <t>Доходы</t>
  </si>
  <si>
    <t>Классификация</t>
  </si>
  <si>
    <t>Расходы</t>
  </si>
  <si>
    <t>Услуги связи</t>
  </si>
  <si>
    <t>ПРОФИЦИТ БЮДЖЕТА (со знаком "плюс"), ДЕФИЦИТ БЮДЖЕТА (со знаком "минус")</t>
  </si>
  <si>
    <t>ИСТОЧНИКИ ФИНАНСИРОВАНИЯ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</si>
  <si>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</si>
  <si>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</si>
  <si>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отч.периода</t>
  </si>
  <si>
    <t xml:space="preserve">Глава  администрации:     </t>
  </si>
  <si>
    <t>Уточненный план на отчётный период</t>
  </si>
  <si>
    <t xml:space="preserve">кассовое исполнение </t>
  </si>
  <si>
    <t>Кадырова Г.А.</t>
  </si>
  <si>
    <t>Начисления на выплаты по оплате труда</t>
  </si>
  <si>
    <t>Заработная плата</t>
  </si>
  <si>
    <t>Услуги в области информационных технологий</t>
  </si>
  <si>
    <t>Уплата налогов, входящих в группу налога на имущество</t>
  </si>
  <si>
    <t>Иные расходы, относящиеся к прочим</t>
  </si>
  <si>
    <t>План на год</t>
  </si>
  <si>
    <t xml:space="preserve"> </t>
  </si>
  <si>
    <t>Прочие выплаты</t>
  </si>
  <si>
    <t>об исполнении бюджета СП Антинганский сельский совет</t>
  </si>
  <si>
    <t>Иные расходы,связанные с увеличением стоимости основных средств</t>
  </si>
  <si>
    <t>текущий ремонт</t>
  </si>
  <si>
    <t>оплата услуг печного отопления</t>
  </si>
  <si>
    <t>оплата услуг потребления газа</t>
  </si>
  <si>
    <t>оплата услуг потребления электроэнергии</t>
  </si>
  <si>
    <t>Иные расходы связанные с увеличением материальных запасов</t>
  </si>
  <si>
    <t>услуги по страхованию</t>
  </si>
  <si>
    <t>иные работы услуги</t>
  </si>
  <si>
    <t>СПРАВОЧНАЯ ТАБЛИЦА к ежемесячному отчету</t>
  </si>
  <si>
    <t>Наименование</t>
  </si>
  <si>
    <t>Код, графа 1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</si>
  <si>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</si>
  <si>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</si>
  <si>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</si>
  <si>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федерального бюджета, графа 8</t>
  </si>
  <si>
    <t>Отчет за пред. период, графа 9</t>
  </si>
  <si>
    <t>СПРАВОЧНО</t>
  </si>
  <si>
    <t/>
  </si>
  <si>
    <t>Расходы на оплату труда с начислениями (с учетом данных бюджетных и автономных учреждений)</t>
  </si>
  <si>
    <t>5500</t>
  </si>
  <si>
    <t>5501</t>
  </si>
  <si>
    <t>\\\\\\5501 \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</si>
  <si>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</si>
  <si>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</si>
  <si>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</si>
  <si>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</si>
  <si>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>5601</t>
  </si>
  <si>
    <t>\\\\\\5601 \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</si>
  <si>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</si>
  <si>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</si>
  <si>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</si>
  <si>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</si>
  <si>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>5801</t>
  </si>
  <si>
    <t>\\\\\\5801 \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</si>
  <si>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</si>
  <si>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</si>
  <si>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</si>
  <si>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</si>
  <si>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</si>
  <si>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</si>
  <si>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</si>
  <si>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</si>
  <si>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</si>
  <si>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</si>
  <si>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</si>
  <si>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</si>
  <si>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</si>
  <si>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</si>
  <si>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</si>
  <si>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</si>
  <si>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МУНИЦИПАЛЬНЫЙ ДОЛГ</t>
  </si>
  <si>
    <t>Муниципальный долг, всего</t>
  </si>
  <si>
    <t>09800</t>
  </si>
  <si>
    <t>в том числе:</t>
  </si>
  <si>
    <t>Номинальная сумма долга по муниципальным ценным бумагам</t>
  </si>
  <si>
    <t>09810</t>
  </si>
  <si>
    <t>\\\\\\6010 \</t>
  </si>
  <si>
    <t>Бюджетные кредиты, полученные местными бюджетами, всего</t>
  </si>
  <si>
    <t>09820</t>
  </si>
  <si>
    <t>09822</t>
  </si>
  <si>
    <t>\\\\\\6021 \</t>
  </si>
  <si>
    <t xml:space="preserve">  -бюджетные кредиты , полученные поселениями из бюджета района</t>
  </si>
  <si>
    <t>09823</t>
  </si>
  <si>
    <t>\\\\\\6022 \</t>
  </si>
  <si>
    <t>09822_1</t>
  </si>
  <si>
    <t>\\\\\\6024 \</t>
  </si>
  <si>
    <t>Кредиты, полученные от кредитных организаций</t>
  </si>
  <si>
    <t>09840</t>
  </si>
  <si>
    <t>\\\\\\6023 \</t>
  </si>
  <si>
    <t xml:space="preserve">  -гарантии перед третьими лицами</t>
  </si>
  <si>
    <t>09860_1</t>
  </si>
  <si>
    <t>\\\\\\6031 \</t>
  </si>
  <si>
    <t xml:space="preserve">  -гарантии перед министерством финансов Республики Башкортостан</t>
  </si>
  <si>
    <t>09860_2</t>
  </si>
  <si>
    <t>\\\\\\6032 \</t>
  </si>
  <si>
    <t>Муниципальные гарантии</t>
  </si>
  <si>
    <t>09860</t>
  </si>
  <si>
    <t>в т.ч. без права регрессного требования гаранта к принципалу</t>
  </si>
  <si>
    <t>09861</t>
  </si>
  <si>
    <t>\\\\\\8470 \</t>
  </si>
  <si>
    <t>Предоставленные муниципальные гарантии в текущем году</t>
  </si>
  <si>
    <t>09862</t>
  </si>
  <si>
    <t>\\\\\\8471 \</t>
  </si>
  <si>
    <t>09863</t>
  </si>
  <si>
    <t>\\\\\\8471_1 \</t>
  </si>
  <si>
    <t>Исполненные муниципальные гарантии в валюте РФ в текущем финансовом году</t>
  </si>
  <si>
    <t>09864</t>
  </si>
  <si>
    <t>\\\\\\8472 \</t>
  </si>
  <si>
    <t>09865</t>
  </si>
  <si>
    <t>\\\\\\8472_1 \</t>
  </si>
  <si>
    <t>Объем просроченной задолженности по муниципальным долговым обязательствам</t>
  </si>
  <si>
    <t>09870</t>
  </si>
  <si>
    <t>\\\\\\8473 \</t>
  </si>
  <si>
    <t>Долговые обязательства муниципальных унитарных предприятий</t>
  </si>
  <si>
    <t>\\\\\\8474 \</t>
  </si>
  <si>
    <t>Начисления на оплату труда</t>
  </si>
  <si>
    <t>Коммунальные услуги</t>
  </si>
  <si>
    <t>Услуги по содержанию имущества</t>
  </si>
  <si>
    <t>Пособия по социальной помощи населению</t>
  </si>
  <si>
    <t>ПРОСРОЧЕННАЯ КРЕДИТОРСКАЯ ЗАДОЛЖЕННОСТЬ, всего</t>
  </si>
  <si>
    <t>10900</t>
  </si>
  <si>
    <t>10901</t>
  </si>
  <si>
    <t>\\\\\211\К \</t>
  </si>
  <si>
    <t>10901_</t>
  </si>
  <si>
    <t>\\\\\212\К \</t>
  </si>
  <si>
    <t>10902</t>
  </si>
  <si>
    <t>\\\\\213\К \</t>
  </si>
  <si>
    <t>10905</t>
  </si>
  <si>
    <t>\\\\\223\К \</t>
  </si>
  <si>
    <t>10906</t>
  </si>
  <si>
    <t>\\\\\225\К \</t>
  </si>
  <si>
    <t>10910</t>
  </si>
  <si>
    <t>\\\\\262\К \</t>
  </si>
  <si>
    <t>11900</t>
  </si>
  <si>
    <t>11901</t>
  </si>
  <si>
    <t>Сурина М.Ф.</t>
  </si>
  <si>
    <t>руб.</t>
  </si>
  <si>
    <t>Расходы дорожных фондов</t>
  </si>
  <si>
    <t>02530</t>
  </si>
  <si>
    <t>02533</t>
  </si>
  <si>
    <t>02534</t>
  </si>
  <si>
    <t>02535</t>
  </si>
  <si>
    <t>02536</t>
  </si>
  <si>
    <t>02538</t>
  </si>
  <si>
    <t>02539</t>
  </si>
  <si>
    <t>ПРОСРОЧЕННАЯ ДЕБИТОРСКАЯ ЗАДОЛЖЕННОСТЬ, всего</t>
  </si>
  <si>
    <t xml:space="preserve"> - по объектам незавершенного строительства</t>
  </si>
  <si>
    <t>Начальник-главный бухгалтер МКУ ЦБ:</t>
  </si>
  <si>
    <t>об исполнении бюджета</t>
  </si>
  <si>
    <t xml:space="preserve">Классификация, графа 2 </t>
  </si>
  <si>
    <t>Уточненный годовой план (всего),(ф-ла гр.4+гр.5)</t>
  </si>
  <si>
    <t>в т.ч. исполнено за счет средств бюджетов РБ и МО, графа 7</t>
  </si>
  <si>
    <t>Раздел "Показатели за счет бюджетных средств".</t>
  </si>
  <si>
    <t>\0253000000000000000000000\\\\\ \</t>
  </si>
  <si>
    <t xml:space="preserve"> - строительство  сети автомобильных дорог общего пользования и искусственных сооружений на них</t>
  </si>
  <si>
    <t>\0253300000000000000000000\\\\\ \</t>
  </si>
  <si>
    <t xml:space="preserve"> - реконструкцию  сети автомобильных дорог общего пользования и искусственных сооружений на них</t>
  </si>
  <si>
    <t>\0253400000000000000000000\\\\\ \</t>
  </si>
  <si>
    <t xml:space="preserve"> - проектирование  сети автомобильных дорог общего пользования и искусственных сооружений на них</t>
  </si>
  <si>
    <t>\0253500000000000000000000\\\\\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</si>
  <si>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</si>
  <si>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\0253600000000000000000000\\\\\ \</t>
  </si>
  <si>
    <t xml:space="preserve"> - содержание сети автомобильных дорог общего пользования и искусственных сооружений на них</t>
  </si>
  <si>
    <t>\0253800000000000000000000\\\\\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</si>
  <si>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</si>
  <si>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\0253900000000000000000000\\\\\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</si>
  <si>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</si>
  <si>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</si>
  <si>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</si>
  <si>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</si>
  <si>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</si>
  <si>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</si>
  <si>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</si>
  <si>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</si>
  <si>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</si>
  <si>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</si>
  <si>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</si>
  <si>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</si>
  <si>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</si>
  <si>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</si>
  <si>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</si>
  <si>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</si>
  <si>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</si>
  <si>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</si>
  <si>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</si>
  <si>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 xml:space="preserve"> - расходы бюджета на оплату труда с начислениями</t>
  </si>
  <si>
    <t xml:space="preserve"> - расходы на оплату труда с начислениями по бюджетным и автономным учреждениям</t>
  </si>
  <si>
    <t xml:space="preserve"> - расходы бюджета на капитальные вложения</t>
  </si>
  <si>
    <t xml:space="preserve"> - расходы на капитальные  вложения по бюджетным и автономным учреждениям</t>
  </si>
  <si>
    <t xml:space="preserve"> - расходы бюджета на социальное обеспечение</t>
  </si>
  <si>
    <t xml:space="preserve"> - расходы на социальное обеспечение по бюджетным и автономным учреждениям</t>
  </si>
  <si>
    <t>\\\\\\08фб \</t>
  </si>
  <si>
    <t>12400</t>
  </si>
  <si>
    <t>\\\\\\Д \</t>
  </si>
  <si>
    <t>\\\\\\Д_1 \</t>
  </si>
  <si>
    <t>Главный бухгалтер                       _________         __________________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</si>
  <si>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</si>
  <si>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</si>
  <si>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</si>
  <si>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</si>
  <si>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</si>
  <si>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</si>
  <si>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>в том числе предоставление МБТ местным бюджетам</t>
  </si>
  <si>
    <t>02533_1</t>
  </si>
  <si>
    <t>\02533_1\\\\\ \</t>
  </si>
  <si>
    <t>в том числе предоставление МБТ  местным бюджетам</t>
  </si>
  <si>
    <t>02534_1</t>
  </si>
  <si>
    <t>\02534_1\\\\\ \</t>
  </si>
  <si>
    <t>02535_1</t>
  </si>
  <si>
    <t>\02535_1\\\\\ \</t>
  </si>
  <si>
    <t>02536_1</t>
  </si>
  <si>
    <t>\02536_1\\\\\ \</t>
  </si>
  <si>
    <t>02538_1</t>
  </si>
  <si>
    <t>\02538_1\\\\\ \</t>
  </si>
  <si>
    <t>02539_1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</si>
  <si>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</si>
  <si>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</si>
  <si>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</si>
  <si>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</si>
  <si>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</si>
  <si>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Уплата иных налогов</t>
  </si>
  <si>
    <t>Расходы по содержанию имущества</t>
  </si>
  <si>
    <t>Услуги по разработке схем</t>
  </si>
  <si>
    <t>Другие расходы по содержанию имущества</t>
  </si>
  <si>
    <t>% исполнения 6=5/3*100</t>
  </si>
  <si>
    <t>КОСГУ</t>
  </si>
  <si>
    <t>\211</t>
  </si>
  <si>
    <t>\221</t>
  </si>
  <si>
    <t>\212.3</t>
  </si>
  <si>
    <t>\223.2</t>
  </si>
  <si>
    <t>\223.5</t>
  </si>
  <si>
    <t>\223.6</t>
  </si>
  <si>
    <t>\225.1</t>
  </si>
  <si>
    <t>\225.2</t>
  </si>
  <si>
    <t>\225.6</t>
  </si>
  <si>
    <t>\226.10</t>
  </si>
  <si>
    <t>\226.2</t>
  </si>
  <si>
    <t>\226.6</t>
  </si>
  <si>
    <t>\226.7</t>
  </si>
  <si>
    <t>\290.1.1</t>
  </si>
  <si>
    <t>\290.1.2</t>
  </si>
  <si>
    <t>\290.8</t>
  </si>
  <si>
    <t>\310.2</t>
  </si>
  <si>
    <t>\340.3</t>
  </si>
  <si>
    <t>_______________________________________________________________________________________________</t>
  </si>
  <si>
    <t>Всего расходы по месячному отчету</t>
  </si>
  <si>
    <t>0409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</si>
  <si>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</si>
  <si>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</si>
  <si>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</si>
  <si>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</si>
  <si>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</si>
  <si>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</si>
  <si>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</si>
  <si>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</si>
  <si>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</si>
  <si>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</si>
  <si>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</si>
  <si>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</si>
  <si>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</si>
  <si>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</si>
  <si>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310 всего</t>
  </si>
  <si>
    <t>0104-310</t>
  </si>
  <si>
    <t>остальные</t>
  </si>
  <si>
    <t>211+213</t>
  </si>
  <si>
    <t xml:space="preserve">  -бюджетные кредиты, полученные из бюджета РБ (011гр)</t>
  </si>
  <si>
    <t xml:space="preserve"> -бюджетные кредиты, полученные от УФК по РБ (012гр.)</t>
  </si>
  <si>
    <t>Руководитель                                _________         __________________</t>
  </si>
  <si>
    <t>182 10102010011000110</t>
  </si>
  <si>
    <t>182 10102030011000110</t>
  </si>
  <si>
    <t>182 10102030012100110</t>
  </si>
  <si>
    <t>182 10503010012100110</t>
  </si>
  <si>
    <t>182 10601030101000110</t>
  </si>
  <si>
    <t>182 10601030102100110</t>
  </si>
  <si>
    <t>182 10606043101000110</t>
  </si>
  <si>
    <t>863 11105035100000120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</si>
  <si>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</si>
  <si>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</si>
  <si>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</si>
  <si>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</si>
  <si>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</si>
  <si>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Наименования</t>
  </si>
  <si>
    <t>Зарплата 0102</t>
  </si>
  <si>
    <t>Начисления 0102</t>
  </si>
  <si>
    <t>Зарплата 0104</t>
  </si>
  <si>
    <t>Начисления 0104</t>
  </si>
  <si>
    <t>План</t>
  </si>
  <si>
    <t>Исполнено</t>
  </si>
  <si>
    <t>Зарплата 0203</t>
  </si>
  <si>
    <t>Начисления 0203</t>
  </si>
  <si>
    <t>МЗ 0104   340.3</t>
  </si>
  <si>
    <t>Итого 0104</t>
  </si>
  <si>
    <t>Итого 0102</t>
  </si>
  <si>
    <t>Итого 0203</t>
  </si>
  <si>
    <t>для Ф.177</t>
  </si>
  <si>
    <t>0104   242</t>
  </si>
  <si>
    <t>0104  221</t>
  </si>
  <si>
    <t>98000</t>
  </si>
  <si>
    <t>170927,66</t>
  </si>
  <si>
    <t>Отклонение 7=5-3</t>
  </si>
  <si>
    <t>182 10102020012100110</t>
  </si>
  <si>
    <t>791 21960010100000150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</si>
  <si>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</si>
  <si>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</si>
  <si>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</si>
  <si>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</si>
  <si>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</si>
  <si>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</si>
  <si>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</si>
  <si>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</si>
  <si>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</si>
  <si>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</si>
  <si>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\212\</t>
  </si>
  <si>
    <t>\213\</t>
  </si>
  <si>
    <t>\227\</t>
  </si>
  <si>
    <t>\266\</t>
  </si>
  <si>
    <t>\291\</t>
  </si>
  <si>
    <t>\297\</t>
  </si>
  <si>
    <t>\312\</t>
  </si>
  <si>
    <t>\343.2\</t>
  </si>
  <si>
    <t>\346\</t>
  </si>
  <si>
    <t>\349\</t>
  </si>
  <si>
    <t>Налоги, пошлины и сборы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</si>
  <si>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</si>
  <si>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</si>
  <si>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</si>
  <si>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</si>
  <si>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\0102\791\99\0\00\02030\121\211\ФЗ.131.03.141\\16802\\|013-111210</t>
  </si>
  <si>
    <t>\0102\791\99\0\00\02030\129\213\ФЗ.131.03.141\\16801\\|013-111210</t>
  </si>
  <si>
    <t>\0104\791\99\0\00\02040\121\211\ФЗ.131.03.141\\16802\\|013-111210</t>
  </si>
  <si>
    <t>\0104\791\99\0\00\02040\121\266\ФЗ.131.03.141\\16802\\|013-111210</t>
  </si>
  <si>
    <t>\0104\791\99\0\00\02040\122\212\ФЗ.131.03.141\\16801\\|013-111210</t>
  </si>
  <si>
    <t>\0104\791\99\0\00\02040\129\213\ФЗ.131.03.141\\16801\\|013-111210</t>
  </si>
  <si>
    <t>\0104\791\99\0\00\02040\242\221\ФЗ.131.03.141\\16801\\|013-111210</t>
  </si>
  <si>
    <t>\0104\791\99\0\00\02040\242\226.7\ФЗ.131.03.141\\16801\\|013-111210</t>
  </si>
  <si>
    <t>\0104\791\99\0\00\02040\244\223.2\ФЗ.131.03.141\\16801\\|013-111210</t>
  </si>
  <si>
    <t>\0104\791\99\0\00\02040\244\223.5\ФЗ.131.03.141\\16801\\|013-111210</t>
  </si>
  <si>
    <t>\0104\791\99\0\00\02040\244\223.6\ФЗ.131.03.141\\16801\\|013-111210</t>
  </si>
  <si>
    <t>\0104\791\99\0\00\02040\244\225.6\ФЗ.131.03.141\\16801\\|013-111210</t>
  </si>
  <si>
    <t>\0104\791\99\0\00\02040\244\226.10\ФЗ.131.03.141\\16801\\|013-111210</t>
  </si>
  <si>
    <t>\0104\791\99\0\00\02040\244\227\ФЗ.131.03.141\\16801\\|013-111210</t>
  </si>
  <si>
    <t>\0104\791\99\0\00\02040\244\343.2\ФЗ.131.03.141\\16801\\|013-111210</t>
  </si>
  <si>
    <t>\0104\791\99\0\00\02040\851\291\ФЗ.131.03.141\\16801\\|013-111210</t>
  </si>
  <si>
    <t>\0104\791\99\0\00\02040\852\291\ФЗ.131.03.141\\16801\\|013-111210</t>
  </si>
  <si>
    <t>\0107\791\99\0\00\00220\244\226.10\РК.380.06.1\\16802\\|013-111210</t>
  </si>
  <si>
    <t>\0111\791\99\0\00\07500\870\297\ФЗ.131.03.128\\16801\\|013-111110</t>
  </si>
  <si>
    <t>\0113\791\30\0\00\09040\244\223.5\ФЗ.131.03.126\\16505\\|013-111210</t>
  </si>
  <si>
    <t>\0203\791\99\0\00\51180\121\211\ФЗ.53.98.1\\17304\\|012-1112</t>
  </si>
  <si>
    <t>\0203\791\99\0\00\51180\129\213\ФЗ.53.98.1\\17304\\|012-1112</t>
  </si>
  <si>
    <t>\0310\791\30\0\00\24300\244\226.10\ФЗ.69.94.2\\16506\\|013-111210</t>
  </si>
  <si>
    <t>\0310\791\30\0\00\24300\244\312\ФЗ.69.94.2\\16506\\|013-111210</t>
  </si>
  <si>
    <t>\0310\791\30\0\00\24300\244\346\ФЗ.69.94.2\\16506\\|013-111210</t>
  </si>
  <si>
    <t>\0314\791\30\0\00\24700\244\226.10\ФЗ.35.06.2\\16610\\|013-111210</t>
  </si>
  <si>
    <t>\0409\791\30\0\00\03150\244\225.6\ФЗ.131.03.62\\16752\\|013-111205</t>
  </si>
  <si>
    <t>\0409\791\30\3\00\03150\244\226.10\ФЗ.131.03.62\\16752\\|013-111205</t>
  </si>
  <si>
    <t>\0502\791\30\0\00\03560\244\225.2\ФЗ.131.03.14\\16751\\|013-111205</t>
  </si>
  <si>
    <t>\0503\791\30\0\01\06050\244\223.6\ФЗ.131.03.11\\16513\\|013-111210</t>
  </si>
  <si>
    <t>\0503\791\30\0\03\06050\244\226.10\ФЗ.131.03.11\\16513\\|013-111210</t>
  </si>
  <si>
    <t>\0503\791\30\0\04\06050\244\225.1\ФЗ.131.03.11\\16513\\|013-111210</t>
  </si>
  <si>
    <t>\0503\791\30\0\04\06050\244\346\ФЗ.131.03.11\\16513\\|013-111210</t>
  </si>
  <si>
    <t>\0801\791\30\0\00\45870\244\349\РЗ.18/19.93.9\\16508\\|013-111210</t>
  </si>
  <si>
    <t>\1101\791\30\0\00\41870\244\349\РЗ.68.08.3\\16509\\|013-111210</t>
  </si>
  <si>
    <t>\9999\791\99\0\00\99999\999\999\М\\18000\\|013-111210</t>
  </si>
  <si>
    <t>\0104\791\99\0\00\02040\242\225.6\ФЗ.131.03.141\\16801\\|013-111210</t>
  </si>
  <si>
    <t>\0502\791\30\0\00\03560\244\226.10\ФЗ.131.03.14\\16751\\|013-111205</t>
  </si>
  <si>
    <t>\0503\791\30\0\01\74040\244\223.6\РП.67.12.1\\16513\\|011-1112</t>
  </si>
  <si>
    <t>\0503\791\30\0\01\74040\244\226.10\РП.67.12.1\\16513\\|011-1112</t>
  </si>
  <si>
    <t>\0503\791\30\0\01\74040\244\346\РП.67.12.1\\16513\\|011-1112</t>
  </si>
  <si>
    <t>\0503\791\30\0\04\74040\244\346\РП.67.12.1\\16513\\|011-1112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</si>
  <si>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</si>
  <si>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</si>
  <si>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</si>
  <si>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</si>
  <si>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</si>
  <si>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</si>
  <si>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791 10804020011000110</t>
  </si>
  <si>
    <t>Доходы, поступающие в порядке возмещения расходов, понесенных в связи с эксплуатацией  имущества поселений</t>
  </si>
  <si>
    <t>791 11302065100000130</t>
  </si>
  <si>
    <t>791 20215001100000150</t>
  </si>
  <si>
    <t>791 20215002100000150</t>
  </si>
  <si>
    <t>791 20235118100000150</t>
  </si>
  <si>
    <t>791 20240014100000150</t>
  </si>
  <si>
    <t>791 20249999107404150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</si>
  <si>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</si>
  <si>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Единый сельскохозяйственный налог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</si>
  <si>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</si>
  <si>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</si>
  <si>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</si>
  <si>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</si>
  <si>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</si>
  <si>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</si>
  <si>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</si>
  <si>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182 10102010010000110</t>
  </si>
  <si>
    <t>182 10503010010000110</t>
  </si>
  <si>
    <t>182 10601030100000110</t>
  </si>
  <si>
    <t>182 10606033100000110</t>
  </si>
  <si>
    <t>182 10606043100000110</t>
  </si>
  <si>
    <t>182 10804020010000110</t>
  </si>
  <si>
    <t>182 11105035100000120</t>
  </si>
  <si>
    <t>706 11651040020000140</t>
  </si>
  <si>
    <t>182 11705050100000180</t>
  </si>
  <si>
    <t>СУФД</t>
  </si>
  <si>
    <t>Отчет</t>
  </si>
  <si>
    <t>\0104\791\99\0\00\02040\244\346\ФЗ.131.03.141\\16801\\|013-111210</t>
  </si>
  <si>
    <t>\0113\791\30\0\00\09040\244\226.10\ФЗ.131.03.126\\16505\\|013-111210</t>
  </si>
  <si>
    <t>\0409\791\30\0\00\74040\244\225.6\РП.67.12.1\\16752\\|011-1112</t>
  </si>
  <si>
    <t>\0502\791\30\0\00\03560\244\226.10\ФЗ.416.11.1\\16812\\|013-111210</t>
  </si>
  <si>
    <t>\0503\791\21\0\07\S2310\244\225.2\РП.25.19.1\\16513\\|011-1112</t>
  </si>
  <si>
    <t>\0503\791\21\0\07\S2310\244\225.2\РП.25.19.1\\16513\\|013-111205</t>
  </si>
  <si>
    <t>\0503\791\30\0\04\06050\244\349\ФЗ.131.03.11\\16513\\|013-111210</t>
  </si>
  <si>
    <t>182 10503010011000110</t>
  </si>
  <si>
    <t>182 10606033101000110</t>
  </si>
  <si>
    <t>182 10606033102100110</t>
  </si>
  <si>
    <t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t>
  </si>
  <si>
    <t>791 20249999107231150</t>
  </si>
  <si>
    <t>Субсид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</si>
</sst>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0000000000000000000000"/>
    <numFmt numFmtId="178" formatCode="00000000000000000000"/>
    <numFmt numFmtId="179" formatCode="[$-FC19]d\ mmmm\ yyyy\ &quot;г.&quot;"/>
    <numFmt numFmtId="180" formatCode="[$-F800]dddd\,\ mmmm\ dd\,\ yyyy"/>
    <numFmt numFmtId="181" formatCode="[$-FC19]dd\ mmmm\ yyyy\ \г\.;@"/>
    <numFmt numFmtId="182" formatCode="&quot;на &quot;[$-FC19]dd\ mmmm\ yyyy\ \г\.;@"/>
    <numFmt numFmtId="183" formatCode="0.000"/>
    <numFmt numFmtId="184" formatCode="0.0"/>
    <numFmt numFmtId="185" formatCode="0.0000"/>
    <numFmt numFmtId="186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b/>
      <sz val="11"/>
      <color indexed="5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24997000396251678"/>
      <name val="Arial Cyr"/>
      <family val="0"/>
    </font>
    <font>
      <b/>
      <sz val="11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9" fontId="31" fillId="0" borderId="10" xfId="0" applyNumberFormat="1" applyFont="1" applyBorder="1" applyAlignment="1">
      <alignment horizontal="center" vertical="center" shrinkToFit="1"/>
    </xf>
    <xf numFmtId="49" fontId="31" fillId="0" borderId="10" xfId="0" applyNumberFormat="1" applyFont="1" applyBorder="1" applyAlignment="1">
      <alignment horizontal="left" vertical="center" shrinkToFi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 quotePrefix="1">
      <alignment horizontal="left" vertical="top" wrapTex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center" vertical="center" wrapText="1" shrinkToFit="1"/>
    </xf>
    <xf numFmtId="0" fontId="0" fillId="0" borderId="0" xfId="0" applyNumberFormat="1" applyAlignment="1">
      <alignment/>
    </xf>
    <xf numFmtId="49" fontId="31" fillId="0" borderId="10" xfId="0" applyNumberFormat="1" applyFont="1" applyBorder="1" applyAlignment="1" quotePrefix="1">
      <alignment horizontal="left" vertical="center" shrinkToFit="1"/>
    </xf>
    <xf numFmtId="0" fontId="31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 quotePrefix="1">
      <alignment horizontal="left" vertical="center" shrinkToFit="1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shrinkToFit="1"/>
    </xf>
    <xf numFmtId="2" fontId="0" fillId="0" borderId="10" xfId="0" applyNumberFormat="1" applyFont="1" applyBorder="1" applyAlignment="1">
      <alignment horizontal="right" vertical="center" shrinkToFit="1"/>
    </xf>
    <xf numFmtId="4" fontId="31" fillId="0" borderId="10" xfId="0" applyNumberFormat="1" applyFont="1" applyBorder="1" applyAlignment="1">
      <alignment horizontal="center" vertical="center" wrapText="1" shrinkToFit="1"/>
    </xf>
    <xf numFmtId="0" fontId="40" fillId="0" borderId="10" xfId="0" applyNumberFormat="1" applyFont="1" applyBorder="1" applyAlignment="1">
      <alignment horizontal="right" vertical="center" shrinkToFit="1"/>
    </xf>
    <xf numFmtId="0" fontId="41" fillId="0" borderId="10" xfId="0" applyNumberFormat="1" applyFont="1" applyBorder="1" applyAlignment="1">
      <alignment horizontal="right" vertical="center" shrinkToFit="1"/>
    </xf>
    <xf numFmtId="49" fontId="40" fillId="0" borderId="10" xfId="0" applyNumberFormat="1" applyFont="1" applyBorder="1" applyAlignment="1">
      <alignment horizontal="right" vertical="center" shrinkToFit="1"/>
    </xf>
    <xf numFmtId="0" fontId="40" fillId="0" borderId="0" xfId="0" applyNumberFormat="1" applyFont="1" applyAlignment="1">
      <alignment/>
    </xf>
    <xf numFmtId="49" fontId="0" fillId="0" borderId="10" xfId="0" applyNumberFormat="1" applyFill="1" applyBorder="1" applyAlignment="1">
      <alignment horizontal="left" vertical="center" shrinkToFit="1"/>
    </xf>
    <xf numFmtId="2" fontId="31" fillId="0" borderId="10" xfId="0" applyNumberFormat="1" applyFont="1" applyBorder="1" applyAlignment="1">
      <alignment horizontal="right" vertical="center" shrinkToFit="1"/>
    </xf>
    <xf numFmtId="2" fontId="41" fillId="0" borderId="10" xfId="0" applyNumberFormat="1" applyFont="1" applyBorder="1" applyAlignment="1">
      <alignment horizontal="right" vertical="center" shrinkToFit="1"/>
    </xf>
    <xf numFmtId="2" fontId="40" fillId="0" borderId="10" xfId="0" applyNumberFormat="1" applyFont="1" applyBorder="1" applyAlignment="1">
      <alignment horizontal="right" vertical="center" shrinkToFit="1"/>
    </xf>
    <xf numFmtId="2" fontId="31" fillId="0" borderId="10" xfId="0" applyNumberFormat="1" applyFont="1" applyBorder="1" applyAlignment="1">
      <alignment horizontal="right" vertical="center" wrapText="1" shrinkToFit="1"/>
    </xf>
    <xf numFmtId="2" fontId="0" fillId="0" borderId="10" xfId="0" applyNumberFormat="1" applyBorder="1" applyAlignment="1">
      <alignment horizontal="right" vertical="center" wrapText="1" shrinkToFit="1"/>
    </xf>
    <xf numFmtId="2" fontId="40" fillId="0" borderId="10" xfId="0" applyNumberFormat="1" applyFont="1" applyBorder="1" applyAlignment="1">
      <alignment horizontal="right" vertical="center" wrapText="1" shrinkToFit="1"/>
    </xf>
    <xf numFmtId="4" fontId="31" fillId="33" borderId="10" xfId="0" applyNumberFormat="1" applyFont="1" applyFill="1" applyBorder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right" vertical="center" shrinkToFit="1"/>
    </xf>
    <xf numFmtId="49" fontId="31" fillId="33" borderId="10" xfId="0" applyNumberFormat="1" applyFont="1" applyFill="1" applyBorder="1" applyAlignment="1">
      <alignment horizontal="center" vertical="center" shrinkToFit="1"/>
    </xf>
    <xf numFmtId="2" fontId="31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vertical="center" wrapText="1" shrinkToFit="1"/>
    </xf>
    <xf numFmtId="0" fontId="2" fillId="10" borderId="10" xfId="0" applyFont="1" applyFill="1" applyBorder="1" applyAlignment="1">
      <alignment/>
    </xf>
    <xf numFmtId="2" fontId="2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82" fontId="0" fillId="0" borderId="0" xfId="0" applyNumberFormat="1" applyFill="1" applyAlignment="1">
      <alignment horizontal="center"/>
    </xf>
    <xf numFmtId="49" fontId="31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showRowColHeaders="0" showZeros="0" showOutlineSymbols="0" zoomScaleSheetLayoutView="4" zoomScalePageLayoutView="0" workbookViewId="0" topLeftCell="B1233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GridLines="0" showRowColHeaders="0" showZeros="0" showOutlineSymbols="0" zoomScaleSheetLayoutView="68" zoomScalePageLayoutView="0" workbookViewId="0" topLeftCell="B125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139"/>
  <sheetViews>
    <sheetView tabSelected="1" zoomScale="85" zoomScaleNormal="85" zoomScaleSheetLayoutView="100" workbookViewId="0" topLeftCell="A16">
      <selection activeCell="C19" sqref="C19"/>
    </sheetView>
  </sheetViews>
  <sheetFormatPr defaultColWidth="9.00390625" defaultRowHeight="12.75"/>
  <cols>
    <col min="1" max="1" width="41.625" style="24" customWidth="1"/>
    <col min="2" max="2" width="37.625" style="24" customWidth="1"/>
    <col min="3" max="3" width="14.00390625" style="22" customWidth="1"/>
    <col min="4" max="4" width="14.875" style="22" customWidth="1"/>
    <col min="5" max="5" width="14.00390625" style="22" customWidth="1"/>
    <col min="6" max="6" width="14.875" style="24" customWidth="1"/>
    <col min="7" max="7" width="14.125" style="24" customWidth="1"/>
    <col min="8" max="8" width="15.125" style="24" customWidth="1"/>
    <col min="9" max="9" width="30.25390625" style="24" customWidth="1"/>
    <col min="10" max="10" width="12.875" style="24" customWidth="1"/>
    <col min="11" max="11" width="9.125" style="24" customWidth="1"/>
    <col min="12" max="12" width="10.25390625" style="24" customWidth="1"/>
    <col min="13" max="13" width="11.375" style="24" customWidth="1"/>
    <col min="14" max="16384" width="9.125" style="24" customWidth="1"/>
  </cols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73"/>
    </row>
    <row r="2" spans="1:8" ht="12.75">
      <c r="A2" s="99" t="s">
        <v>22</v>
      </c>
      <c r="B2" s="99"/>
      <c r="C2" s="99"/>
      <c r="D2" s="99"/>
      <c r="E2" s="99"/>
      <c r="F2" s="99"/>
      <c r="G2" s="99"/>
      <c r="H2" s="74"/>
    </row>
    <row r="3" spans="1:8" ht="12.75">
      <c r="A3" s="100">
        <v>43556</v>
      </c>
      <c r="B3" s="100"/>
      <c r="C3" s="100"/>
      <c r="D3" s="100"/>
      <c r="E3" s="100"/>
      <c r="F3" s="100"/>
      <c r="G3" s="100"/>
      <c r="H3" s="74"/>
    </row>
    <row r="4" spans="1:8" ht="51.75" customHeight="1">
      <c r="A4" s="7" t="s">
        <v>20</v>
      </c>
      <c r="B4" s="7" t="s">
        <v>2</v>
      </c>
      <c r="C4" s="6" t="s">
        <v>19</v>
      </c>
      <c r="D4" s="6" t="s">
        <v>11</v>
      </c>
      <c r="E4" s="6" t="s">
        <v>12</v>
      </c>
      <c r="F4" s="7" t="s">
        <v>302</v>
      </c>
      <c r="G4" s="7" t="s">
        <v>227</v>
      </c>
      <c r="H4" s="73"/>
    </row>
    <row r="5" spans="1:8" ht="12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7">
        <v>7</v>
      </c>
      <c r="G5" s="7">
        <v>8</v>
      </c>
      <c r="H5" s="73"/>
    </row>
    <row r="6" spans="1:13" ht="12.75">
      <c r="A6" s="75" t="s">
        <v>1</v>
      </c>
      <c r="B6" s="76"/>
      <c r="C6" s="9">
        <f>SUM(C7:C55)</f>
        <v>3351603</v>
      </c>
      <c r="D6" s="9">
        <f>SUM(D7:D55)</f>
        <v>3351603</v>
      </c>
      <c r="E6" s="9">
        <f>SUM(E7:E55)</f>
        <v>665043.5800000001</v>
      </c>
      <c r="F6" s="10">
        <f>C6-E6</f>
        <v>2686559.42</v>
      </c>
      <c r="G6" s="77">
        <f>E6/D6</f>
        <v>0.19842552354798587</v>
      </c>
      <c r="H6" s="73"/>
      <c r="L6" s="22"/>
      <c r="M6" s="22"/>
    </row>
    <row r="7" spans="1:11" ht="51" customHeight="1">
      <c r="A7" s="2" t="str">
        <f>LOOKUP(MID(B7,1,21),Лист2!$B$100:$B$201,Лист2!$A$100:$A$201)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7" s="53" t="s">
        <v>271</v>
      </c>
      <c r="C7" s="11">
        <v>75000</v>
      </c>
      <c r="D7" s="11">
        <f>C7</f>
        <v>75000</v>
      </c>
      <c r="E7" s="11">
        <v>12583.16</v>
      </c>
      <c r="F7" s="12">
        <f>E7-C7</f>
        <v>-62416.84</v>
      </c>
      <c r="G7" s="78">
        <f>E7/D7</f>
        <v>0.16777546666666668</v>
      </c>
      <c r="H7" s="95"/>
      <c r="K7" s="79"/>
    </row>
    <row r="8" spans="1:11" ht="60.75" customHeight="1">
      <c r="A8" s="2" t="str">
        <f>LOOKUP(MID(B8,1,21),Лист2!$B$100:$B$201,Лист2!$A$100:$A$201)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v>
      </c>
      <c r="B8" s="53" t="s">
        <v>373</v>
      </c>
      <c r="C8" s="11"/>
      <c r="D8" s="11">
        <f aca="true" t="shared" si="0" ref="D8:D55">C8</f>
        <v>0</v>
      </c>
      <c r="E8" s="11">
        <v>2.12</v>
      </c>
      <c r="F8" s="12">
        <f aca="true" t="shared" si="1" ref="F8:F32">E8-C8</f>
        <v>2.12</v>
      </c>
      <c r="G8" s="78" t="e">
        <f>E8/D8</f>
        <v>#DIV/0!</v>
      </c>
      <c r="H8" s="95"/>
      <c r="K8" s="79"/>
    </row>
    <row r="9" spans="1:11" ht="54.75" customHeight="1">
      <c r="A9" s="2" t="str">
        <f>LOOKUP(MID(B9,1,21),Лист2!$B$100:$B$201,Лист2!$A$100:$A$201)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v>
      </c>
      <c r="B9" s="53" t="s">
        <v>303</v>
      </c>
      <c r="C9" s="11"/>
      <c r="D9" s="11">
        <f t="shared" si="0"/>
        <v>0</v>
      </c>
      <c r="E9" s="11">
        <v>0.18</v>
      </c>
      <c r="F9" s="12">
        <f t="shared" si="1"/>
        <v>0.18</v>
      </c>
      <c r="G9" s="78" t="e">
        <f aca="true" t="shared" si="2" ref="G9:G55">E9/D9</f>
        <v>#DIV/0!</v>
      </c>
      <c r="H9" s="95"/>
      <c r="K9" s="79"/>
    </row>
    <row r="10" spans="1:11" ht="52.5" customHeight="1">
      <c r="A10" s="2" t="str">
        <f>LOOKUP(MID(B10,1,21),Лист2!$B$100:$B$201,Лист2!$A$100:$A$201)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10" s="53" t="s">
        <v>272</v>
      </c>
      <c r="C10" s="11"/>
      <c r="D10" s="11">
        <f t="shared" si="0"/>
        <v>0</v>
      </c>
      <c r="E10" s="11">
        <v>84.13</v>
      </c>
      <c r="F10" s="12">
        <f t="shared" si="1"/>
        <v>84.13</v>
      </c>
      <c r="G10" s="78" t="e">
        <f t="shared" si="2"/>
        <v>#DIV/0!</v>
      </c>
      <c r="H10" s="95"/>
      <c r="K10" s="79"/>
    </row>
    <row r="11" spans="1:11" ht="30" customHeight="1">
      <c r="A11" s="2" t="str">
        <f>LOOKUP(MID(B11,1,21),Лист2!$B$100:$B$201,Лист2!$A$100:$A$201)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v>
      </c>
      <c r="B11" s="53" t="s">
        <v>273</v>
      </c>
      <c r="C11" s="11"/>
      <c r="D11" s="11">
        <f t="shared" si="0"/>
        <v>0</v>
      </c>
      <c r="E11" s="11">
        <v>0.54</v>
      </c>
      <c r="F11" s="12">
        <f t="shared" si="1"/>
        <v>0.54</v>
      </c>
      <c r="G11" s="78" t="e">
        <f t="shared" si="2"/>
        <v>#DIV/0!</v>
      </c>
      <c r="H11" s="95"/>
      <c r="K11" s="79"/>
    </row>
    <row r="12" spans="1:11" ht="55.5" customHeight="1">
      <c r="A12" s="2" t="str">
        <f>LOOKUP(MID(B12,1,21),Лист2!$B$100:$B$201,Лист2!$A$100:$A$201)</f>
        <v>Единый сельскохозяйственный налог </v>
      </c>
      <c r="B12" s="53" t="s">
        <v>413</v>
      </c>
      <c r="C12" s="11">
        <v>22200</v>
      </c>
      <c r="D12" s="11">
        <f t="shared" si="0"/>
        <v>22200</v>
      </c>
      <c r="E12" s="11">
        <v>8456.1</v>
      </c>
      <c r="F12" s="12">
        <f t="shared" si="1"/>
        <v>-13743.9</v>
      </c>
      <c r="G12" s="78">
        <f t="shared" si="2"/>
        <v>0.3809054054054054</v>
      </c>
      <c r="H12" s="95"/>
      <c r="K12" s="79"/>
    </row>
    <row r="13" spans="1:11" ht="55.5" customHeight="1">
      <c r="A13" s="2" t="str">
        <f>LOOKUP(MID(B13,1,21),Лист2!$B$100:$B$201,Лист2!$A$100:$A$201)</f>
        <v>Единый сельскохозяйственный налог (пени по соответствующему платежу)</v>
      </c>
      <c r="B13" s="53" t="s">
        <v>274</v>
      </c>
      <c r="C13" s="11"/>
      <c r="D13" s="11">
        <f t="shared" si="0"/>
        <v>0</v>
      </c>
      <c r="E13" s="11">
        <v>1.73</v>
      </c>
      <c r="F13" s="12">
        <f t="shared" si="1"/>
        <v>1.73</v>
      </c>
      <c r="G13" s="78" t="e">
        <f t="shared" si="2"/>
        <v>#DIV/0!</v>
      </c>
      <c r="H13" s="95"/>
      <c r="K13" s="79"/>
    </row>
    <row r="14" spans="1:11" ht="56.25" customHeight="1">
      <c r="A14" s="2" t="str">
        <f>LOOKUP(MID(B14,1,21),Лист2!$B$100:$B$201,Лист2!$A$100:$A$201)</f>
        <v>Единый сельскохозяйственный налог (суммы денежных взысканий (штрафов) по соответствующему платежу согласно законодательству Российской Федерации)</v>
      </c>
      <c r="B14" s="53" t="s">
        <v>375</v>
      </c>
      <c r="C14" s="11"/>
      <c r="D14" s="11">
        <f t="shared" si="0"/>
        <v>0</v>
      </c>
      <c r="E14" s="11">
        <v>75</v>
      </c>
      <c r="F14" s="12">
        <f>E14-C14</f>
        <v>75</v>
      </c>
      <c r="G14" s="78" t="e">
        <f t="shared" si="2"/>
        <v>#DIV/0!</v>
      </c>
      <c r="H14" s="95"/>
      <c r="K14" s="79"/>
    </row>
    <row r="15" spans="1:11" ht="49.5" customHeight="1">
      <c r="A15" s="2" t="str">
        <f>LOOKUP(MID(B15,1,21),Лист2!$B$100:$B$201,Лист2!$A$100:$A$201)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15" s="53" t="s">
        <v>275</v>
      </c>
      <c r="C15" s="11">
        <v>60000</v>
      </c>
      <c r="D15" s="11">
        <f t="shared" si="0"/>
        <v>60000</v>
      </c>
      <c r="E15" s="11">
        <v>1422</v>
      </c>
      <c r="F15" s="12">
        <f t="shared" si="1"/>
        <v>-58578</v>
      </c>
      <c r="G15" s="78">
        <f t="shared" si="2"/>
        <v>0.0237</v>
      </c>
      <c r="H15" s="95"/>
      <c r="K15" s="79"/>
    </row>
    <row r="16" spans="1:11" ht="81.75" customHeight="1">
      <c r="A16" s="2" t="str">
        <f>LOOKUP(MID(B16,1,21),Лист2!$B$100:$B$201,Лист2!$A$100:$A$201)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v>
      </c>
      <c r="B16" s="53" t="s">
        <v>276</v>
      </c>
      <c r="C16" s="11"/>
      <c r="D16" s="11">
        <f t="shared" si="0"/>
        <v>0</v>
      </c>
      <c r="E16" s="11">
        <v>-109.66</v>
      </c>
      <c r="F16" s="12">
        <f t="shared" si="1"/>
        <v>-109.66</v>
      </c>
      <c r="G16" s="78" t="e">
        <f t="shared" si="2"/>
        <v>#DIV/0!</v>
      </c>
      <c r="H16" s="95"/>
      <c r="K16" s="79"/>
    </row>
    <row r="17" spans="1:11" ht="60" customHeight="1">
      <c r="A17" s="2" t="str">
        <f>LOOKUP(MID(B17,1,21),Лист2!$B$100:$B$201,Лист2!$A$100:$A$201)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7" s="53" t="s">
        <v>414</v>
      </c>
      <c r="C17" s="11">
        <v>220000</v>
      </c>
      <c r="D17" s="11">
        <f t="shared" si="0"/>
        <v>220000</v>
      </c>
      <c r="E17" s="11">
        <v>160</v>
      </c>
      <c r="F17" s="12">
        <f t="shared" si="1"/>
        <v>-219840</v>
      </c>
      <c r="G17" s="78">
        <f t="shared" si="2"/>
        <v>0.0007272727272727272</v>
      </c>
      <c r="I17" s="22"/>
      <c r="J17" s="22"/>
      <c r="K17" s="79"/>
    </row>
    <row r="18" spans="1:11" ht="42" customHeight="1">
      <c r="A18" s="2" t="str">
        <f>LOOKUP(MID(B18,1,21),Лист2!$B$100:$B$201,Лист2!$A$100:$A$201)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8" s="53" t="s">
        <v>415</v>
      </c>
      <c r="C18" s="11"/>
      <c r="D18" s="11">
        <f t="shared" si="0"/>
        <v>0</v>
      </c>
      <c r="E18" s="97">
        <v>1.11</v>
      </c>
      <c r="F18" s="12">
        <f t="shared" si="1"/>
        <v>1.11</v>
      </c>
      <c r="G18" s="78" t="e">
        <f t="shared" si="2"/>
        <v>#DIV/0!</v>
      </c>
      <c r="K18" s="79"/>
    </row>
    <row r="19" spans="1:11" ht="29.25" customHeight="1">
      <c r="A19" s="2" t="str">
        <f>LOOKUP(MID(B19,1,21),Лист2!$B$100:$B$201,Лист2!$A$100:$A$201)</f>
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19" s="53" t="s">
        <v>277</v>
      </c>
      <c r="C19" s="11">
        <v>250000</v>
      </c>
      <c r="D19" s="11">
        <f t="shared" si="0"/>
        <v>250000</v>
      </c>
      <c r="E19" s="11">
        <v>6166</v>
      </c>
      <c r="F19" s="12">
        <f t="shared" si="1"/>
        <v>-243834</v>
      </c>
      <c r="G19" s="78">
        <f t="shared" si="2"/>
        <v>0.024664</v>
      </c>
      <c r="K19" s="79"/>
    </row>
    <row r="20" spans="1:11" ht="44.25" customHeight="1">
      <c r="A20" s="2" t="str">
        <f>LOOKUP(MID(B20,1,21),Лист2!$B$100:$B$201,Лист2!$A$100:$A$201)</f>
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</c>
      <c r="B20" s="53" t="s">
        <v>377</v>
      </c>
      <c r="C20" s="11">
        <v>0</v>
      </c>
      <c r="D20" s="11">
        <f t="shared" si="0"/>
        <v>0</v>
      </c>
      <c r="E20" s="11">
        <v>330.81</v>
      </c>
      <c r="F20" s="12">
        <f t="shared" si="1"/>
        <v>330.81</v>
      </c>
      <c r="G20" s="78" t="e">
        <f t="shared" si="2"/>
        <v>#DIV/0!</v>
      </c>
      <c r="K20" s="79"/>
    </row>
    <row r="21" spans="1:11" ht="54" customHeight="1">
      <c r="A21" s="2" t="str">
        <f>LOOKUP(MID(B21,1,21),Лист2!$B$100:$B$201,Лист2!$A$100:$A$201)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1" s="53" t="s">
        <v>378</v>
      </c>
      <c r="C21" s="24">
        <v>6000</v>
      </c>
      <c r="D21" s="11">
        <f t="shared" si="0"/>
        <v>6000</v>
      </c>
      <c r="E21" s="11">
        <v>1080</v>
      </c>
      <c r="F21" s="12">
        <f t="shared" si="1"/>
        <v>-4920</v>
      </c>
      <c r="G21" s="78">
        <f t="shared" si="2"/>
        <v>0.18</v>
      </c>
      <c r="K21" s="79"/>
    </row>
    <row r="22" spans="1:11" ht="56.25" customHeight="1">
      <c r="A22" s="2" t="str">
        <f>LOOKUP(MID(B22,1,21),Лист2!$B$100:$B$201,Лист2!$A$100:$A$201)</f>
        <v>Доходы, поступающие в порядке возмещения расходов, понесенных в связи с эксплуатацией  имущества поселений</v>
      </c>
      <c r="B22" s="53" t="s">
        <v>380</v>
      </c>
      <c r="C22" s="11">
        <v>5000</v>
      </c>
      <c r="D22" s="11">
        <f t="shared" si="0"/>
        <v>5000</v>
      </c>
      <c r="E22" s="11">
        <v>1345.2</v>
      </c>
      <c r="F22" s="12">
        <f t="shared" si="1"/>
        <v>-3654.8</v>
      </c>
      <c r="G22" s="78">
        <f t="shared" si="2"/>
        <v>0.26904</v>
      </c>
      <c r="K22" s="79"/>
    </row>
    <row r="23" spans="1:11" ht="42.75" customHeight="1">
      <c r="A23" s="2" t="str">
        <f>LOOKUP(MID(B23,1,21),Лист2!$B$100:$B$201,Лист2!$A$100:$A$201)</f>
        <v>Дотации бюджетам сельских поселений на выравнивание бюджетной обеспеченности</v>
      </c>
      <c r="B23" s="53" t="s">
        <v>381</v>
      </c>
      <c r="C23" s="11">
        <v>352800</v>
      </c>
      <c r="D23" s="11">
        <f t="shared" si="0"/>
        <v>352800</v>
      </c>
      <c r="E23" s="11">
        <v>88200</v>
      </c>
      <c r="F23" s="12">
        <f t="shared" si="1"/>
        <v>-264600</v>
      </c>
      <c r="G23" s="78">
        <f t="shared" si="2"/>
        <v>0.25</v>
      </c>
      <c r="H23" s="22"/>
      <c r="K23" s="79"/>
    </row>
    <row r="24" spans="1:11" ht="29.25" customHeight="1">
      <c r="A24" s="2" t="str">
        <f>LOOKUP(MID(B24,1,21),Лист2!$B$100:$B$201,Лист2!$A$100:$A$201)</f>
        <v>Дотации бюджетам сельских поселений на поддержку мер по обеспечению сбалансированности бюджетов</v>
      </c>
      <c r="B24" s="53" t="s">
        <v>382</v>
      </c>
      <c r="C24" s="11">
        <v>1369000</v>
      </c>
      <c r="D24" s="11">
        <f t="shared" si="0"/>
        <v>1369000</v>
      </c>
      <c r="E24" s="11">
        <v>342249.99</v>
      </c>
      <c r="F24" s="12">
        <f t="shared" si="1"/>
        <v>-1026750.01</v>
      </c>
      <c r="G24" s="78">
        <f t="shared" si="2"/>
        <v>0.2499999926953981</v>
      </c>
      <c r="K24" s="79"/>
    </row>
    <row r="25" spans="1:11" ht="37.5" customHeight="1">
      <c r="A25" s="2" t="str">
        <f>LOOKUP(MID(B25,1,21),Лист2!$B$100:$B$201,Лист2!$A$100:$A$201)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25" s="53" t="s">
        <v>383</v>
      </c>
      <c r="C25" s="11">
        <v>83300</v>
      </c>
      <c r="D25" s="11">
        <f t="shared" si="0"/>
        <v>83300</v>
      </c>
      <c r="E25" s="11">
        <v>20825</v>
      </c>
      <c r="F25" s="12">
        <f t="shared" si="1"/>
        <v>-62475</v>
      </c>
      <c r="G25" s="78">
        <f t="shared" si="2"/>
        <v>0.25</v>
      </c>
      <c r="K25" s="79"/>
    </row>
    <row r="26" spans="1:11" ht="44.25" customHeight="1">
      <c r="A26" s="2" t="str">
        <f>LOOKUP(MID(B26,1,21),Лист2!$B$100:$B$201,Лист2!$A$100:$A$201)</f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6" s="53" t="s">
        <v>384</v>
      </c>
      <c r="C26" s="11">
        <v>205000</v>
      </c>
      <c r="D26" s="11">
        <f>C26</f>
        <v>205000</v>
      </c>
      <c r="E26" s="11">
        <v>77500</v>
      </c>
      <c r="F26" s="12">
        <f t="shared" si="1"/>
        <v>-127500</v>
      </c>
      <c r="G26" s="78">
        <f t="shared" si="2"/>
        <v>0.3780487804878049</v>
      </c>
      <c r="I26" s="22"/>
      <c r="J26" s="22"/>
      <c r="K26" s="79"/>
    </row>
    <row r="27" spans="1:11" ht="27" customHeight="1">
      <c r="A27" s="2" t="str">
        <f>LOOKUP(MID(B27,1,21),Лист2!$B$100:$B$201,Лист2!$A$100:$A$201)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v>
      </c>
      <c r="B27" s="53" t="s">
        <v>385</v>
      </c>
      <c r="C27" s="11">
        <v>500000</v>
      </c>
      <c r="D27" s="11">
        <f t="shared" si="0"/>
        <v>500000</v>
      </c>
      <c r="E27" s="11">
        <v>125000</v>
      </c>
      <c r="F27" s="12">
        <f t="shared" si="1"/>
        <v>-375000</v>
      </c>
      <c r="G27" s="78">
        <f t="shared" si="2"/>
        <v>0.25</v>
      </c>
      <c r="K27" s="79"/>
    </row>
    <row r="28" spans="1:11" ht="36" customHeight="1">
      <c r="A28" s="2" t="str">
        <f>LOOKUP(MID(B28,1,21),Лист2!$B$100:$B$201,Лист2!$A$100:$A$201)</f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B28" s="53" t="s">
        <v>304</v>
      </c>
      <c r="C28" s="11"/>
      <c r="D28" s="11">
        <f t="shared" si="0"/>
        <v>0</v>
      </c>
      <c r="E28" s="11">
        <v>-38661</v>
      </c>
      <c r="F28" s="12">
        <f t="shared" si="1"/>
        <v>-38661</v>
      </c>
      <c r="G28" s="78" t="e">
        <f t="shared" si="2"/>
        <v>#DIV/0!</v>
      </c>
      <c r="K28" s="79"/>
    </row>
    <row r="29" spans="1:11" ht="30" customHeight="1">
      <c r="A29" s="2" t="str">
        <f>LOOKUP(MID(B29,1,21),Лист2!$B$100:$B$201,Лист2!$A$100:$A$201)</f>
        <v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v>
      </c>
      <c r="B29" s="53" t="s">
        <v>278</v>
      </c>
      <c r="C29" s="11">
        <v>36000</v>
      </c>
      <c r="D29" s="11">
        <f t="shared" si="0"/>
        <v>36000</v>
      </c>
      <c r="E29" s="11">
        <v>18331.17</v>
      </c>
      <c r="F29" s="12">
        <f t="shared" si="1"/>
        <v>-17668.83</v>
      </c>
      <c r="G29" s="78">
        <f>E29/D29</f>
        <v>0.5091991666666666</v>
      </c>
      <c r="K29" s="79"/>
    </row>
    <row r="30" spans="1:11" ht="30" customHeight="1">
      <c r="A30" s="2" t="str">
        <f>LOOKUP(MID(B30,1,21),Лист2!$B$100:$B$201,Лист2!$A$100:$A$201)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30" s="53" t="s">
        <v>402</v>
      </c>
      <c r="C30" s="11">
        <v>1000</v>
      </c>
      <c r="D30" s="11">
        <f t="shared" si="0"/>
        <v>1000</v>
      </c>
      <c r="E30" s="11"/>
      <c r="F30" s="12">
        <f t="shared" si="1"/>
        <v>-1000</v>
      </c>
      <c r="G30" s="78">
        <f t="shared" si="2"/>
        <v>0</v>
      </c>
      <c r="K30" s="79"/>
    </row>
    <row r="31" spans="1:11" ht="30" customHeight="1">
      <c r="A31" s="2" t="str">
        <f>LOOKUP(MID(B31,1,21),Лист2!$B$100:$B$201,Лист2!$A$100:$A$201)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v>
      </c>
      <c r="B31" s="53" t="s">
        <v>417</v>
      </c>
      <c r="C31" s="11">
        <v>166303</v>
      </c>
      <c r="D31" s="11">
        <f t="shared" si="0"/>
        <v>166303</v>
      </c>
      <c r="E31" s="11"/>
      <c r="F31" s="12">
        <f t="shared" si="1"/>
        <v>-166303</v>
      </c>
      <c r="G31" s="78">
        <f t="shared" si="2"/>
        <v>0</v>
      </c>
      <c r="K31" s="79"/>
    </row>
    <row r="32" spans="1:11" ht="69" customHeight="1" hidden="1">
      <c r="A32" s="2" t="e">
        <f>LOOKUP(MID(B32,1,21),Лист2!$B$100:$B$201,Лист2!$A$100:$A$201)</f>
        <v>#N/A</v>
      </c>
      <c r="B32" s="53"/>
      <c r="C32" s="11"/>
      <c r="D32" s="11">
        <f t="shared" si="0"/>
        <v>0</v>
      </c>
      <c r="E32" s="11"/>
      <c r="F32" s="12">
        <f t="shared" si="1"/>
        <v>0</v>
      </c>
      <c r="G32" s="78" t="e">
        <f t="shared" si="2"/>
        <v>#DIV/0!</v>
      </c>
      <c r="K32" s="79"/>
    </row>
    <row r="33" spans="1:7" ht="30" customHeight="1" hidden="1">
      <c r="A33" s="2" t="e">
        <f>LOOKUP(MID(B33,1,21),Лист2!$B$100:$B$201,Лист2!$A$100:$A$201)</f>
        <v>#N/A</v>
      </c>
      <c r="B33" s="53"/>
      <c r="C33" s="11"/>
      <c r="D33" s="11">
        <f t="shared" si="0"/>
        <v>0</v>
      </c>
      <c r="E33" s="11"/>
      <c r="F33" s="12">
        <f aca="true" t="shared" si="3" ref="F33:F56">SUM(C33-E33)</f>
        <v>0</v>
      </c>
      <c r="G33" s="78" t="e">
        <f t="shared" si="2"/>
        <v>#DIV/0!</v>
      </c>
    </row>
    <row r="34" spans="1:7" ht="30" customHeight="1" hidden="1">
      <c r="A34" s="2" t="e">
        <f>LOOKUP(MID(B34,1,21),Лист2!$B$100:$B$201,Лист2!$A$100:$A$201)</f>
        <v>#N/A</v>
      </c>
      <c r="B34" s="53"/>
      <c r="C34" s="11"/>
      <c r="D34" s="11">
        <f t="shared" si="0"/>
        <v>0</v>
      </c>
      <c r="E34" s="11"/>
      <c r="F34" s="12">
        <f t="shared" si="3"/>
        <v>0</v>
      </c>
      <c r="G34" s="78" t="e">
        <f t="shared" si="2"/>
        <v>#DIV/0!</v>
      </c>
    </row>
    <row r="35" spans="1:7" ht="30" customHeight="1" hidden="1">
      <c r="A35" s="2" t="e">
        <f>LOOKUP(MID(B35,1,21),Лист2!$B$100:$B$201,Лист2!$A$100:$A$201)</f>
        <v>#N/A</v>
      </c>
      <c r="B35" s="53"/>
      <c r="C35" s="11"/>
      <c r="D35" s="11">
        <f t="shared" si="0"/>
        <v>0</v>
      </c>
      <c r="E35" s="11"/>
      <c r="F35" s="12">
        <f>SUM(C35-E35)</f>
        <v>0</v>
      </c>
      <c r="G35" s="78" t="e">
        <f>E35/D35</f>
        <v>#DIV/0!</v>
      </c>
    </row>
    <row r="36" spans="1:7" ht="30" customHeight="1" hidden="1">
      <c r="A36" s="2"/>
      <c r="B36" s="53"/>
      <c r="C36" s="11"/>
      <c r="D36" s="11">
        <f t="shared" si="0"/>
        <v>0</v>
      </c>
      <c r="E36" s="11"/>
      <c r="F36" s="12">
        <f t="shared" si="3"/>
        <v>0</v>
      </c>
      <c r="G36" s="78" t="e">
        <f t="shared" si="2"/>
        <v>#DIV/0!</v>
      </c>
    </row>
    <row r="37" spans="1:7" ht="30" customHeight="1" hidden="1">
      <c r="A37" s="2"/>
      <c r="B37" s="53"/>
      <c r="C37" s="11"/>
      <c r="D37" s="11">
        <f t="shared" si="0"/>
        <v>0</v>
      </c>
      <c r="E37" s="11"/>
      <c r="F37" s="12">
        <f t="shared" si="3"/>
        <v>0</v>
      </c>
      <c r="G37" s="78" t="e">
        <f t="shared" si="2"/>
        <v>#DIV/0!</v>
      </c>
    </row>
    <row r="38" spans="1:7" ht="30" customHeight="1" hidden="1">
      <c r="A38" s="2"/>
      <c r="B38" s="53"/>
      <c r="C38" s="11"/>
      <c r="D38" s="11">
        <f t="shared" si="0"/>
        <v>0</v>
      </c>
      <c r="E38" s="11"/>
      <c r="F38" s="12">
        <f t="shared" si="3"/>
        <v>0</v>
      </c>
      <c r="G38" s="78" t="e">
        <f t="shared" si="2"/>
        <v>#DIV/0!</v>
      </c>
    </row>
    <row r="39" spans="1:7" ht="17.25" customHeight="1" hidden="1">
      <c r="A39" s="80"/>
      <c r="B39" s="53"/>
      <c r="C39" s="11"/>
      <c r="D39" s="11">
        <f t="shared" si="0"/>
        <v>0</v>
      </c>
      <c r="E39" s="11"/>
      <c r="F39" s="12">
        <f t="shared" si="3"/>
        <v>0</v>
      </c>
      <c r="G39" s="78" t="e">
        <f t="shared" si="2"/>
        <v>#DIV/0!</v>
      </c>
    </row>
    <row r="40" spans="1:7" ht="30" customHeight="1" hidden="1">
      <c r="A40" s="2"/>
      <c r="B40" s="53"/>
      <c r="C40" s="11"/>
      <c r="D40" s="11">
        <f t="shared" si="0"/>
        <v>0</v>
      </c>
      <c r="E40" s="11"/>
      <c r="F40" s="12">
        <f t="shared" si="3"/>
        <v>0</v>
      </c>
      <c r="G40" s="78" t="e">
        <f t="shared" si="2"/>
        <v>#DIV/0!</v>
      </c>
    </row>
    <row r="41" spans="1:7" ht="30" customHeight="1" hidden="1">
      <c r="A41" s="2"/>
      <c r="B41" s="53"/>
      <c r="C41" s="11"/>
      <c r="D41" s="11">
        <f t="shared" si="0"/>
        <v>0</v>
      </c>
      <c r="E41" s="11"/>
      <c r="F41" s="12">
        <f t="shared" si="3"/>
        <v>0</v>
      </c>
      <c r="G41" s="78" t="e">
        <f t="shared" si="2"/>
        <v>#DIV/0!</v>
      </c>
    </row>
    <row r="42" spans="1:7" ht="30" customHeight="1" hidden="1">
      <c r="A42" s="2"/>
      <c r="B42" s="53"/>
      <c r="C42" s="11"/>
      <c r="D42" s="11">
        <f t="shared" si="0"/>
        <v>0</v>
      </c>
      <c r="E42" s="11"/>
      <c r="F42" s="12">
        <f t="shared" si="3"/>
        <v>0</v>
      </c>
      <c r="G42" s="78" t="e">
        <f t="shared" si="2"/>
        <v>#DIV/0!</v>
      </c>
    </row>
    <row r="43" spans="1:7" ht="30" customHeight="1" hidden="1">
      <c r="A43" s="2"/>
      <c r="B43" s="53"/>
      <c r="C43" s="11"/>
      <c r="D43" s="11">
        <f t="shared" si="0"/>
        <v>0</v>
      </c>
      <c r="E43" s="11"/>
      <c r="F43" s="12">
        <f>SUM(C43-E43)</f>
        <v>0</v>
      </c>
      <c r="G43" s="78" t="e">
        <f t="shared" si="2"/>
        <v>#DIV/0!</v>
      </c>
    </row>
    <row r="44" spans="1:7" ht="30" customHeight="1" hidden="1">
      <c r="A44" s="2"/>
      <c r="B44" s="53"/>
      <c r="C44" s="11"/>
      <c r="D44" s="11">
        <f t="shared" si="0"/>
        <v>0</v>
      </c>
      <c r="E44" s="11"/>
      <c r="F44" s="12">
        <f t="shared" si="3"/>
        <v>0</v>
      </c>
      <c r="G44" s="78" t="e">
        <f t="shared" si="2"/>
        <v>#DIV/0!</v>
      </c>
    </row>
    <row r="45" spans="1:7" ht="30" customHeight="1" hidden="1">
      <c r="A45" s="2"/>
      <c r="B45" s="53"/>
      <c r="C45" s="11"/>
      <c r="D45" s="11">
        <f t="shared" si="0"/>
        <v>0</v>
      </c>
      <c r="E45" s="11"/>
      <c r="F45" s="12">
        <f t="shared" si="3"/>
        <v>0</v>
      </c>
      <c r="G45" s="78" t="e">
        <f t="shared" si="2"/>
        <v>#DIV/0!</v>
      </c>
    </row>
    <row r="46" spans="1:7" ht="30" customHeight="1" hidden="1">
      <c r="A46" s="2"/>
      <c r="B46" s="53"/>
      <c r="C46" s="11"/>
      <c r="D46" s="11">
        <f t="shared" si="0"/>
        <v>0</v>
      </c>
      <c r="E46" s="11"/>
      <c r="F46" s="12">
        <f t="shared" si="3"/>
        <v>0</v>
      </c>
      <c r="G46" s="78" t="e">
        <f t="shared" si="2"/>
        <v>#DIV/0!</v>
      </c>
    </row>
    <row r="47" spans="1:7" ht="30" customHeight="1" hidden="1">
      <c r="A47" s="2"/>
      <c r="B47" s="53"/>
      <c r="C47" s="11"/>
      <c r="D47" s="11">
        <f t="shared" si="0"/>
        <v>0</v>
      </c>
      <c r="E47" s="11"/>
      <c r="F47" s="12">
        <f t="shared" si="3"/>
        <v>0</v>
      </c>
      <c r="G47" s="78" t="e">
        <f t="shared" si="2"/>
        <v>#DIV/0!</v>
      </c>
    </row>
    <row r="48" spans="1:7" ht="30" customHeight="1" hidden="1">
      <c r="A48" s="2"/>
      <c r="B48" s="81"/>
      <c r="C48" s="11"/>
      <c r="D48" s="11">
        <f t="shared" si="0"/>
        <v>0</v>
      </c>
      <c r="E48" s="11"/>
      <c r="F48" s="12">
        <f t="shared" si="3"/>
        <v>0</v>
      </c>
      <c r="G48" s="78" t="e">
        <f t="shared" si="2"/>
        <v>#DIV/0!</v>
      </c>
    </row>
    <row r="49" spans="1:7" ht="30" customHeight="1" hidden="1">
      <c r="A49" s="2"/>
      <c r="B49" s="53"/>
      <c r="C49" s="11"/>
      <c r="D49" s="11">
        <f t="shared" si="0"/>
        <v>0</v>
      </c>
      <c r="E49" s="11"/>
      <c r="F49" s="12">
        <f t="shared" si="3"/>
        <v>0</v>
      </c>
      <c r="G49" s="78" t="e">
        <f t="shared" si="2"/>
        <v>#DIV/0!</v>
      </c>
    </row>
    <row r="50" spans="1:7" ht="30" customHeight="1" hidden="1">
      <c r="A50" s="2"/>
      <c r="B50" s="53"/>
      <c r="C50" s="11"/>
      <c r="D50" s="11">
        <f t="shared" si="0"/>
        <v>0</v>
      </c>
      <c r="E50" s="11"/>
      <c r="F50" s="12">
        <f t="shared" si="3"/>
        <v>0</v>
      </c>
      <c r="G50" s="78" t="e">
        <f t="shared" si="2"/>
        <v>#DIV/0!</v>
      </c>
    </row>
    <row r="51" spans="1:7" ht="30" customHeight="1" hidden="1">
      <c r="A51" s="2"/>
      <c r="B51" s="53"/>
      <c r="C51" s="11"/>
      <c r="D51" s="11">
        <f t="shared" si="0"/>
        <v>0</v>
      </c>
      <c r="E51" s="11"/>
      <c r="F51" s="12">
        <f t="shared" si="3"/>
        <v>0</v>
      </c>
      <c r="G51" s="78" t="e">
        <f t="shared" si="2"/>
        <v>#DIV/0!</v>
      </c>
    </row>
    <row r="52" spans="1:7" ht="30" customHeight="1" hidden="1">
      <c r="A52" s="2"/>
      <c r="B52" s="53"/>
      <c r="C52" s="11"/>
      <c r="D52" s="11">
        <f t="shared" si="0"/>
        <v>0</v>
      </c>
      <c r="E52" s="11"/>
      <c r="F52" s="12">
        <f t="shared" si="3"/>
        <v>0</v>
      </c>
      <c r="G52" s="78" t="e">
        <f t="shared" si="2"/>
        <v>#DIV/0!</v>
      </c>
    </row>
    <row r="53" spans="1:7" ht="34.5" customHeight="1" hidden="1">
      <c r="A53" s="2"/>
      <c r="B53" s="53"/>
      <c r="C53" s="11"/>
      <c r="D53" s="11">
        <f t="shared" si="0"/>
        <v>0</v>
      </c>
      <c r="E53" s="11"/>
      <c r="F53" s="12">
        <f t="shared" si="3"/>
        <v>0</v>
      </c>
      <c r="G53" s="78" t="e">
        <f t="shared" si="2"/>
        <v>#DIV/0!</v>
      </c>
    </row>
    <row r="54" spans="1:7" ht="12.75" hidden="1">
      <c r="A54" s="2"/>
      <c r="B54" s="53"/>
      <c r="C54" s="11"/>
      <c r="D54" s="11">
        <f t="shared" si="0"/>
        <v>0</v>
      </c>
      <c r="E54" s="11"/>
      <c r="F54" s="12">
        <f t="shared" si="3"/>
        <v>0</v>
      </c>
      <c r="G54" s="78" t="e">
        <f t="shared" si="2"/>
        <v>#DIV/0!</v>
      </c>
    </row>
    <row r="55" spans="1:7" ht="12.75" hidden="1">
      <c r="A55" s="2"/>
      <c r="B55" s="53"/>
      <c r="C55" s="11"/>
      <c r="D55" s="11">
        <f t="shared" si="0"/>
        <v>0</v>
      </c>
      <c r="E55" s="11"/>
      <c r="F55" s="12">
        <f t="shared" si="3"/>
        <v>0</v>
      </c>
      <c r="G55" s="78" t="e">
        <f t="shared" si="2"/>
        <v>#DIV/0!</v>
      </c>
    </row>
    <row r="56" spans="1:7" ht="14.25" customHeight="1">
      <c r="A56" s="82" t="s">
        <v>3</v>
      </c>
      <c r="B56" s="83"/>
      <c r="C56" s="9">
        <f>SUM(C57:C133)</f>
        <v>3421603</v>
      </c>
      <c r="D56" s="9">
        <f>SUM(D57:D133)</f>
        <v>3421603</v>
      </c>
      <c r="E56" s="9">
        <f>SUM(E57:E133)</f>
        <v>705325.2799999999</v>
      </c>
      <c r="F56" s="14">
        <f t="shared" si="3"/>
        <v>2716277.72</v>
      </c>
      <c r="G56" s="77">
        <f>E56/D56</f>
        <v>0.20613884194045887</v>
      </c>
    </row>
    <row r="57" spans="1:13" ht="24.75" customHeight="1">
      <c r="A57" s="64" t="str">
        <f>LOOKUP(MID(B57,28,7),Лист2!$B$2:$B$31,Лист2!$A$2:$A$31)</f>
        <v>Заработная плата</v>
      </c>
      <c r="B57" s="65" t="s">
        <v>330</v>
      </c>
      <c r="C57" s="11">
        <v>476000</v>
      </c>
      <c r="D57" s="11">
        <f aca="true" t="shared" si="4" ref="D57:D67">C57</f>
        <v>476000</v>
      </c>
      <c r="E57" s="11">
        <v>116917</v>
      </c>
      <c r="F57" s="12">
        <f>C57-E57</f>
        <v>359083</v>
      </c>
      <c r="G57" s="78">
        <f>E57/D57</f>
        <v>0.24562394957983194</v>
      </c>
      <c r="I57" s="24" t="str">
        <f>MID(B57,1,27)</f>
        <v>\0102\791\99\0\00\02030\121</v>
      </c>
      <c r="J57" s="84">
        <f>SUMIF($I$57:$I$115,I57,$C$57:$C$115)</f>
        <v>476000</v>
      </c>
      <c r="K57" s="24" t="str">
        <f>MID(B57,1,5)</f>
        <v>\0102</v>
      </c>
      <c r="L57" s="84">
        <f>SUMIF($I$57:$I$115,I57,$E$57:$E$115)</f>
        <v>116917</v>
      </c>
      <c r="M57" s="24">
        <f>100*L57/J57</f>
        <v>24.562394957983194</v>
      </c>
    </row>
    <row r="58" spans="1:13" ht="24.75" customHeight="1">
      <c r="A58" s="64" t="str">
        <f>LOOKUP(MID(B58,28,7),Лист2!$B$2:$B$31,Лист2!$A$2:$A$31)</f>
        <v>Начисления на выплаты по оплате труда</v>
      </c>
      <c r="B58" s="66" t="s">
        <v>331</v>
      </c>
      <c r="C58" s="11">
        <v>144000</v>
      </c>
      <c r="D58" s="11">
        <f t="shared" si="4"/>
        <v>144000</v>
      </c>
      <c r="E58" s="11">
        <v>20004.9</v>
      </c>
      <c r="F58" s="12">
        <f>C58-E58</f>
        <v>123995.1</v>
      </c>
      <c r="G58" s="78">
        <f aca="true" t="shared" si="5" ref="G58:G113">E58/D58</f>
        <v>0.13892291666666667</v>
      </c>
      <c r="I58" s="24" t="str">
        <f aca="true" t="shared" si="6" ref="I58:I104">MID(B58,1,27)</f>
        <v>\0102\791\99\0\00\02030\129</v>
      </c>
      <c r="J58" s="84">
        <f aca="true" t="shared" si="7" ref="J58:J104">SUMIF($I$57:$I$115,I58,$C$57:$C$115)</f>
        <v>144000</v>
      </c>
      <c r="K58" s="24" t="str">
        <f aca="true" t="shared" si="8" ref="K58:K104">MID(B58,1,5)</f>
        <v>\0102</v>
      </c>
      <c r="L58" s="84">
        <f aca="true" t="shared" si="9" ref="L58:L104">SUMIF($I$57:$I$115,I58,$E$57:$E$115)</f>
        <v>20004.9</v>
      </c>
      <c r="M58" s="24">
        <f aca="true" t="shared" si="10" ref="M58:M104">100*L58/J58</f>
        <v>13.892291666666669</v>
      </c>
    </row>
    <row r="59" spans="1:13" ht="24.75" customHeight="1">
      <c r="A59" s="64" t="str">
        <f>LOOKUP(MID(B59,28,7),Лист2!$B$2:$B$31,Лист2!$A$2:$A$31)</f>
        <v>Заработная плата</v>
      </c>
      <c r="B59" s="65" t="s">
        <v>332</v>
      </c>
      <c r="C59" s="11">
        <v>705000</v>
      </c>
      <c r="D59" s="11">
        <f t="shared" si="4"/>
        <v>705000</v>
      </c>
      <c r="E59" s="11">
        <v>158243.05</v>
      </c>
      <c r="F59" s="12">
        <f aca="true" t="shared" si="11" ref="F59:F109">C59-E59</f>
        <v>546756.95</v>
      </c>
      <c r="G59" s="78">
        <f t="shared" si="5"/>
        <v>0.22445822695035458</v>
      </c>
      <c r="H59" s="84"/>
      <c r="I59" s="24" t="str">
        <f t="shared" si="6"/>
        <v>\0104\791\99\0\00\02040\121</v>
      </c>
      <c r="J59" s="84">
        <f t="shared" si="7"/>
        <v>710000</v>
      </c>
      <c r="K59" s="24" t="str">
        <f t="shared" si="8"/>
        <v>\0104</v>
      </c>
      <c r="L59" s="84">
        <f t="shared" si="9"/>
        <v>158243.05</v>
      </c>
      <c r="M59" s="24">
        <f t="shared" si="10"/>
        <v>22.287753521126756</v>
      </c>
    </row>
    <row r="60" spans="1:13" ht="24.75" customHeight="1">
      <c r="A60" s="64" t="str">
        <f>LOOKUP(MID(B60,28,7),Лист2!$B$2:$B$31,Лист2!$A$2:$A$31)</f>
        <v>Начисления на выплаты по оплате труда</v>
      </c>
      <c r="B60" s="65" t="s">
        <v>333</v>
      </c>
      <c r="C60" s="11">
        <v>5000</v>
      </c>
      <c r="D60" s="11">
        <f t="shared" si="4"/>
        <v>5000</v>
      </c>
      <c r="E60" s="11"/>
      <c r="F60" s="12">
        <f t="shared" si="11"/>
        <v>5000</v>
      </c>
      <c r="G60" s="78">
        <f t="shared" si="5"/>
        <v>0</v>
      </c>
      <c r="I60" s="24" t="str">
        <f t="shared" si="6"/>
        <v>\0104\791\99\0\00\02040\121</v>
      </c>
      <c r="J60" s="84">
        <f t="shared" si="7"/>
        <v>710000</v>
      </c>
      <c r="K60" s="24" t="str">
        <f t="shared" si="8"/>
        <v>\0104</v>
      </c>
      <c r="L60" s="84">
        <f t="shared" si="9"/>
        <v>158243.05</v>
      </c>
      <c r="M60" s="24">
        <f t="shared" si="10"/>
        <v>22.287753521126756</v>
      </c>
    </row>
    <row r="61" spans="1:13" ht="24.75" customHeight="1">
      <c r="A61" s="64" t="str">
        <f>LOOKUP(MID(B61,28,7),Лист2!$B$2:$B$31,Лист2!$A$2:$A$31)</f>
        <v>Прочие выплаты</v>
      </c>
      <c r="B61" s="65" t="s">
        <v>334</v>
      </c>
      <c r="C61" s="11">
        <v>2000</v>
      </c>
      <c r="D61" s="11">
        <f>C61</f>
        <v>2000</v>
      </c>
      <c r="E61" s="11"/>
      <c r="F61" s="12">
        <f t="shared" si="11"/>
        <v>2000</v>
      </c>
      <c r="G61" s="78">
        <f t="shared" si="5"/>
        <v>0</v>
      </c>
      <c r="I61" s="24" t="str">
        <f t="shared" si="6"/>
        <v>\0104\791\99\0\00\02040\122</v>
      </c>
      <c r="J61" s="84">
        <f t="shared" si="7"/>
        <v>2000</v>
      </c>
      <c r="K61" s="24" t="str">
        <f t="shared" si="8"/>
        <v>\0104</v>
      </c>
      <c r="L61" s="84">
        <f t="shared" si="9"/>
        <v>0</v>
      </c>
      <c r="M61" s="24">
        <f t="shared" si="10"/>
        <v>0</v>
      </c>
    </row>
    <row r="62" spans="1:13" ht="24.75" customHeight="1">
      <c r="A62" s="64" t="str">
        <f>LOOKUP(MID(B62,28,7),Лист2!$B$2:$B$31,Лист2!$A$2:$A$31)</f>
        <v>Начисления на выплаты по оплате труда</v>
      </c>
      <c r="B62" s="65" t="s">
        <v>335</v>
      </c>
      <c r="C62" s="11">
        <v>214000</v>
      </c>
      <c r="D62" s="11">
        <f t="shared" si="4"/>
        <v>214000</v>
      </c>
      <c r="E62" s="11">
        <v>27900.54</v>
      </c>
      <c r="F62" s="12">
        <f t="shared" si="11"/>
        <v>186099.46</v>
      </c>
      <c r="G62" s="78">
        <f t="shared" si="5"/>
        <v>0.13037635514018692</v>
      </c>
      <c r="I62" s="24" t="str">
        <f t="shared" si="6"/>
        <v>\0104\791\99\0\00\02040\129</v>
      </c>
      <c r="J62" s="84">
        <f t="shared" si="7"/>
        <v>214000</v>
      </c>
      <c r="K62" s="24" t="str">
        <f t="shared" si="8"/>
        <v>\0104</v>
      </c>
      <c r="L62" s="84">
        <f t="shared" si="9"/>
        <v>27900.54</v>
      </c>
      <c r="M62" s="24">
        <f t="shared" si="10"/>
        <v>13.037635514018692</v>
      </c>
    </row>
    <row r="63" spans="1:13" ht="24.75" customHeight="1">
      <c r="A63" s="64" t="str">
        <f>LOOKUP(MID(B63,28,7),Лист2!$B$2:$B$31,Лист2!$A$2:$A$31)</f>
        <v>Услуги связи</v>
      </c>
      <c r="B63" s="65" t="s">
        <v>336</v>
      </c>
      <c r="C63" s="11">
        <v>42000</v>
      </c>
      <c r="D63" s="11">
        <f>C63</f>
        <v>42000</v>
      </c>
      <c r="E63" s="11">
        <v>6803.42</v>
      </c>
      <c r="F63" s="12">
        <f t="shared" si="11"/>
        <v>35196.58</v>
      </c>
      <c r="G63" s="78">
        <f t="shared" si="5"/>
        <v>0.16198619047619048</v>
      </c>
      <c r="I63" s="24" t="str">
        <f t="shared" si="6"/>
        <v>\0104\791\99\0\00\02040\242</v>
      </c>
      <c r="J63" s="84">
        <f t="shared" si="7"/>
        <v>93100</v>
      </c>
      <c r="K63" s="24" t="str">
        <f t="shared" si="8"/>
        <v>\0104</v>
      </c>
      <c r="L63" s="84">
        <f t="shared" si="9"/>
        <v>36753.42</v>
      </c>
      <c r="M63" s="24">
        <f t="shared" si="10"/>
        <v>39.47735767991407</v>
      </c>
    </row>
    <row r="64" spans="1:13" ht="24.75" customHeight="1">
      <c r="A64" s="85" t="str">
        <f>LOOKUP(MID(B64,28,7),Лист2!$B$2:$B$31,Лист2!$A$2:$A$31)</f>
        <v>Другие расходы по содержанию имущества</v>
      </c>
      <c r="B64" s="65" t="s">
        <v>366</v>
      </c>
      <c r="C64" s="11">
        <v>10400</v>
      </c>
      <c r="D64" s="11">
        <f>C64</f>
        <v>10400</v>
      </c>
      <c r="E64" s="11">
        <v>10400</v>
      </c>
      <c r="F64" s="12">
        <f t="shared" si="11"/>
        <v>0</v>
      </c>
      <c r="G64" s="78">
        <f t="shared" si="5"/>
        <v>1</v>
      </c>
      <c r="I64" s="24" t="str">
        <f t="shared" si="6"/>
        <v>\0104\791\99\0\00\02040\242</v>
      </c>
      <c r="J64" s="84">
        <f t="shared" si="7"/>
        <v>93100</v>
      </c>
      <c r="K64" s="24" t="str">
        <f t="shared" si="8"/>
        <v>\0104</v>
      </c>
      <c r="L64" s="84">
        <f t="shared" si="9"/>
        <v>36753.42</v>
      </c>
      <c r="M64" s="24">
        <f t="shared" si="10"/>
        <v>39.47735767991407</v>
      </c>
    </row>
    <row r="65" spans="1:13" ht="24.75" customHeight="1">
      <c r="A65" s="64" t="str">
        <f>LOOKUP(MID(B65,28,7),Лист2!$B$2:$B$31,Лист2!$A$2:$A$31)</f>
        <v>Услуги в области информационных технологий</v>
      </c>
      <c r="B65" s="65" t="s">
        <v>337</v>
      </c>
      <c r="C65" s="11">
        <v>40700</v>
      </c>
      <c r="D65" s="11">
        <f>C65</f>
        <v>40700</v>
      </c>
      <c r="E65" s="11">
        <v>19550</v>
      </c>
      <c r="F65" s="12">
        <f t="shared" si="11"/>
        <v>21150</v>
      </c>
      <c r="G65" s="78">
        <f t="shared" si="5"/>
        <v>0.48034398034398035</v>
      </c>
      <c r="I65" s="24" t="str">
        <f t="shared" si="6"/>
        <v>\0104\791\99\0\00\02040\242</v>
      </c>
      <c r="J65" s="84">
        <f t="shared" si="7"/>
        <v>93100</v>
      </c>
      <c r="K65" s="24" t="str">
        <f t="shared" si="8"/>
        <v>\0104</v>
      </c>
      <c r="L65" s="84">
        <f t="shared" si="9"/>
        <v>36753.42</v>
      </c>
      <c r="M65" s="24">
        <f t="shared" si="10"/>
        <v>39.47735767991407</v>
      </c>
    </row>
    <row r="66" spans="1:13" ht="24.75" customHeight="1">
      <c r="A66" s="64" t="str">
        <f>LOOKUP(MID(B66,28,7),Лист2!$B$2:$B$31,Лист2!$A$2:$A$31)</f>
        <v>оплата услуг печного отопления</v>
      </c>
      <c r="B66" s="65" t="s">
        <v>338</v>
      </c>
      <c r="C66" s="11">
        <v>54000</v>
      </c>
      <c r="D66" s="11">
        <f>C66</f>
        <v>54000</v>
      </c>
      <c r="E66" s="11">
        <v>14743.6</v>
      </c>
      <c r="F66" s="12">
        <f t="shared" si="11"/>
        <v>39256.4</v>
      </c>
      <c r="G66" s="78">
        <f t="shared" si="5"/>
        <v>0.2730296296296296</v>
      </c>
      <c r="I66" s="24" t="str">
        <f t="shared" si="6"/>
        <v>\0104\791\99\0\00\02040\244</v>
      </c>
      <c r="J66" s="84">
        <f t="shared" si="7"/>
        <v>327808</v>
      </c>
      <c r="K66" s="24" t="str">
        <f t="shared" si="8"/>
        <v>\0104</v>
      </c>
      <c r="L66" s="84">
        <f t="shared" si="9"/>
        <v>66983.65</v>
      </c>
      <c r="M66" s="24">
        <f t="shared" si="10"/>
        <v>20.43380576434986</v>
      </c>
    </row>
    <row r="67" spans="1:13" ht="24.75" customHeight="1">
      <c r="A67" s="64" t="str">
        <f>LOOKUP(MID(B67,28,7),Лист2!$B$2:$B$31,Лист2!$A$2:$A$31)</f>
        <v>оплата услуг потребления газа</v>
      </c>
      <c r="B67" s="65" t="s">
        <v>339</v>
      </c>
      <c r="C67" s="11">
        <v>75600</v>
      </c>
      <c r="D67" s="11">
        <f t="shared" si="4"/>
        <v>75600</v>
      </c>
      <c r="E67" s="11">
        <v>24010.65</v>
      </c>
      <c r="F67" s="12">
        <f t="shared" si="11"/>
        <v>51589.35</v>
      </c>
      <c r="G67" s="78">
        <f t="shared" si="5"/>
        <v>0.3176011904761905</v>
      </c>
      <c r="I67" s="24" t="str">
        <f t="shared" si="6"/>
        <v>\0104\791\99\0\00\02040\244</v>
      </c>
      <c r="J67" s="84">
        <f t="shared" si="7"/>
        <v>327808</v>
      </c>
      <c r="K67" s="24" t="str">
        <f t="shared" si="8"/>
        <v>\0104</v>
      </c>
      <c r="L67" s="84">
        <f t="shared" si="9"/>
        <v>66983.65</v>
      </c>
      <c r="M67" s="24">
        <f t="shared" si="10"/>
        <v>20.43380576434986</v>
      </c>
    </row>
    <row r="68" spans="1:13" ht="24.75" customHeight="1">
      <c r="A68" s="64" t="str">
        <f>LOOKUP(MID(B68,28,7),Лист2!$B$2:$B$31,Лист2!$A$2:$A$31)</f>
        <v>оплата услуг потребления электроэнергии</v>
      </c>
      <c r="B68" s="65" t="s">
        <v>340</v>
      </c>
      <c r="C68" s="26">
        <v>40000</v>
      </c>
      <c r="D68" s="11">
        <f aca="true" t="shared" si="12" ref="D68:D90">C68</f>
        <v>40000</v>
      </c>
      <c r="E68" s="11"/>
      <c r="F68" s="12">
        <f t="shared" si="11"/>
        <v>40000</v>
      </c>
      <c r="G68" s="78">
        <f t="shared" si="5"/>
        <v>0</v>
      </c>
      <c r="I68" s="24" t="str">
        <f t="shared" si="6"/>
        <v>\0104\791\99\0\00\02040\244</v>
      </c>
      <c r="J68" s="84">
        <f t="shared" si="7"/>
        <v>327808</v>
      </c>
      <c r="K68" s="24" t="str">
        <f t="shared" si="8"/>
        <v>\0104</v>
      </c>
      <c r="L68" s="84">
        <f t="shared" si="9"/>
        <v>66983.65</v>
      </c>
      <c r="M68" s="24">
        <f t="shared" si="10"/>
        <v>20.43380576434986</v>
      </c>
    </row>
    <row r="69" spans="1:13" ht="24.75" customHeight="1">
      <c r="A69" s="64" t="str">
        <f>LOOKUP(MID(B69,28,7),Лист2!$B$2:$B$31,Лист2!$A$2:$A$31)</f>
        <v>Другие расходы по содержанию имущества</v>
      </c>
      <c r="B69" s="65" t="s">
        <v>341</v>
      </c>
      <c r="C69" s="11">
        <v>28400</v>
      </c>
      <c r="D69" s="11">
        <f t="shared" si="12"/>
        <v>28400</v>
      </c>
      <c r="E69" s="11">
        <v>554.9</v>
      </c>
      <c r="F69" s="12">
        <f t="shared" si="11"/>
        <v>27845.1</v>
      </c>
      <c r="G69" s="78">
        <f t="shared" si="5"/>
        <v>0.019538732394366196</v>
      </c>
      <c r="I69" s="24" t="str">
        <f t="shared" si="6"/>
        <v>\0104\791\99\0\00\02040\244</v>
      </c>
      <c r="J69" s="84">
        <f t="shared" si="7"/>
        <v>327808</v>
      </c>
      <c r="K69" s="24" t="str">
        <f t="shared" si="8"/>
        <v>\0104</v>
      </c>
      <c r="L69" s="84">
        <f t="shared" si="9"/>
        <v>66983.65</v>
      </c>
      <c r="M69" s="24">
        <f t="shared" si="10"/>
        <v>20.43380576434986</v>
      </c>
    </row>
    <row r="70" spans="1:13" ht="24.75" customHeight="1">
      <c r="A70" s="64" t="str">
        <f>LOOKUP(MID(B70,28,7),Лист2!$B$2:$B$31,Лист2!$A$2:$A$31)</f>
        <v>иные работы услуги</v>
      </c>
      <c r="B70" s="65" t="s">
        <v>342</v>
      </c>
      <c r="C70" s="11">
        <v>12808</v>
      </c>
      <c r="D70" s="11">
        <f t="shared" si="12"/>
        <v>12808</v>
      </c>
      <c r="E70" s="11">
        <v>12808</v>
      </c>
      <c r="F70" s="12">
        <f t="shared" si="11"/>
        <v>0</v>
      </c>
      <c r="G70" s="78">
        <f t="shared" si="5"/>
        <v>1</v>
      </c>
      <c r="I70" s="24" t="str">
        <f t="shared" si="6"/>
        <v>\0104\791\99\0\00\02040\244</v>
      </c>
      <c r="J70" s="84">
        <f t="shared" si="7"/>
        <v>327808</v>
      </c>
      <c r="K70" s="24" t="str">
        <f t="shared" si="8"/>
        <v>\0104</v>
      </c>
      <c r="L70" s="84">
        <f t="shared" si="9"/>
        <v>66983.65</v>
      </c>
      <c r="M70" s="24">
        <f t="shared" si="10"/>
        <v>20.43380576434986</v>
      </c>
    </row>
    <row r="71" spans="1:13" ht="24.75" customHeight="1">
      <c r="A71" s="64" t="str">
        <f>LOOKUP(MID(B71,28,7),Лист2!$B$2:$B$31,Лист2!$A$2:$A$31)</f>
        <v>услуги по страхованию</v>
      </c>
      <c r="B71" s="65" t="s">
        <v>343</v>
      </c>
      <c r="C71" s="15">
        <v>7000</v>
      </c>
      <c r="D71" s="11">
        <f t="shared" si="12"/>
        <v>7000</v>
      </c>
      <c r="E71" s="15"/>
      <c r="F71" s="12">
        <f t="shared" si="11"/>
        <v>7000</v>
      </c>
      <c r="G71" s="78">
        <f t="shared" si="5"/>
        <v>0</v>
      </c>
      <c r="I71" s="24" t="str">
        <f t="shared" si="6"/>
        <v>\0104\791\99\0\00\02040\244</v>
      </c>
      <c r="J71" s="84">
        <f t="shared" si="7"/>
        <v>327808</v>
      </c>
      <c r="K71" s="24" t="str">
        <f t="shared" si="8"/>
        <v>\0104</v>
      </c>
      <c r="L71" s="84">
        <f t="shared" si="9"/>
        <v>66983.65</v>
      </c>
      <c r="M71" s="24">
        <f t="shared" si="10"/>
        <v>20.43380576434986</v>
      </c>
    </row>
    <row r="72" spans="1:13" ht="33.75" customHeight="1">
      <c r="A72" s="64" t="str">
        <f>LOOKUP(MID(B72,28,7),Лист2!$B$2:$B$31,Лист2!$A$2:$A$31)</f>
        <v>Увеличение стоимости горюче-смазочных материалов</v>
      </c>
      <c r="B72" s="25" t="s">
        <v>344</v>
      </c>
      <c r="C72" s="15">
        <v>95000</v>
      </c>
      <c r="D72" s="11">
        <f t="shared" si="12"/>
        <v>95000</v>
      </c>
      <c r="E72" s="15">
        <v>14866.5</v>
      </c>
      <c r="F72" s="12">
        <f t="shared" si="11"/>
        <v>80133.5</v>
      </c>
      <c r="G72" s="78">
        <f t="shared" si="5"/>
        <v>0.15648947368421054</v>
      </c>
      <c r="I72" s="24" t="str">
        <f t="shared" si="6"/>
        <v>\0104\791\99\0\00\02040\244</v>
      </c>
      <c r="J72" s="84">
        <f t="shared" si="7"/>
        <v>327808</v>
      </c>
      <c r="K72" s="24" t="str">
        <f t="shared" si="8"/>
        <v>\0104</v>
      </c>
      <c r="L72" s="84">
        <f t="shared" si="9"/>
        <v>66983.65</v>
      </c>
      <c r="M72" s="24">
        <f t="shared" si="10"/>
        <v>20.43380576434986</v>
      </c>
    </row>
    <row r="73" spans="1:13" ht="24.75" customHeight="1">
      <c r="A73" s="64" t="str">
        <f>LOOKUP(MID(B73,28,7),Лист2!$B$2:$B$31,Лист2!$A$2:$A$31)</f>
        <v>Увеличение стоимости прочих оборотных запасов (материалов)</v>
      </c>
      <c r="B73" s="25" t="s">
        <v>406</v>
      </c>
      <c r="C73" s="15">
        <v>15000</v>
      </c>
      <c r="D73" s="11">
        <f t="shared" si="12"/>
        <v>15000</v>
      </c>
      <c r="E73" s="15"/>
      <c r="F73" s="12">
        <f t="shared" si="11"/>
        <v>15000</v>
      </c>
      <c r="G73" s="78">
        <f t="shared" si="5"/>
        <v>0</v>
      </c>
      <c r="I73" s="24" t="str">
        <f t="shared" si="6"/>
        <v>\0104\791\99\0\00\02040\244</v>
      </c>
      <c r="J73" s="84">
        <f t="shared" si="7"/>
        <v>327808</v>
      </c>
      <c r="K73" s="24" t="str">
        <f t="shared" si="8"/>
        <v>\0104</v>
      </c>
      <c r="L73" s="84">
        <f t="shared" si="9"/>
        <v>66983.65</v>
      </c>
      <c r="M73" s="24">
        <f t="shared" si="10"/>
        <v>20.43380576434986</v>
      </c>
    </row>
    <row r="74" spans="1:13" ht="24.75" customHeight="1">
      <c r="A74" s="64" t="str">
        <f>LOOKUP(MID(B74,28,7),Лист2!$B$2:$B$31,Лист2!$A$2:$A$31)</f>
        <v>Налоги, пошлины и сборы</v>
      </c>
      <c r="B74" s="25" t="s">
        <v>345</v>
      </c>
      <c r="C74" s="15">
        <v>15192</v>
      </c>
      <c r="D74" s="11">
        <f t="shared" si="12"/>
        <v>15192</v>
      </c>
      <c r="E74" s="15">
        <v>5015</v>
      </c>
      <c r="F74" s="12">
        <f t="shared" si="11"/>
        <v>10177</v>
      </c>
      <c r="G74" s="78">
        <f t="shared" si="5"/>
        <v>0.3301079515534492</v>
      </c>
      <c r="I74" s="24" t="str">
        <f t="shared" si="6"/>
        <v>\0104\791\99\0\00\02040\851</v>
      </c>
      <c r="J74" s="84">
        <f t="shared" si="7"/>
        <v>15192</v>
      </c>
      <c r="K74" s="24" t="str">
        <f t="shared" si="8"/>
        <v>\0104</v>
      </c>
      <c r="L74" s="84">
        <f t="shared" si="9"/>
        <v>5015</v>
      </c>
      <c r="M74" s="24">
        <f t="shared" si="10"/>
        <v>33.010795155344915</v>
      </c>
    </row>
    <row r="75" spans="1:13" ht="24.75" customHeight="1">
      <c r="A75" s="64" t="str">
        <f>LOOKUP(MID(B75,28,7),Лист2!$B$2:$B$31,Лист2!$A$2:$A$31)</f>
        <v>Налоги, пошлины и сборы</v>
      </c>
      <c r="B75" s="25" t="s">
        <v>346</v>
      </c>
      <c r="C75" s="15">
        <v>5000</v>
      </c>
      <c r="D75" s="11">
        <f t="shared" si="12"/>
        <v>5000</v>
      </c>
      <c r="E75" s="15"/>
      <c r="F75" s="12">
        <f t="shared" si="11"/>
        <v>5000</v>
      </c>
      <c r="G75" s="78">
        <f t="shared" si="5"/>
        <v>0</v>
      </c>
      <c r="I75" s="24" t="str">
        <f t="shared" si="6"/>
        <v>\0104\791\99\0\00\02040\852</v>
      </c>
      <c r="J75" s="84">
        <f t="shared" si="7"/>
        <v>5000</v>
      </c>
      <c r="K75" s="24" t="str">
        <f t="shared" si="8"/>
        <v>\0104</v>
      </c>
      <c r="L75" s="84">
        <f t="shared" si="9"/>
        <v>0</v>
      </c>
      <c r="M75" s="24">
        <f t="shared" si="10"/>
        <v>0</v>
      </c>
    </row>
    <row r="76" spans="1:13" ht="24.75" customHeight="1">
      <c r="A76" s="64" t="str">
        <f>LOOKUP(MID(B76,28,7),Лист2!$B$2:$B$31,Лист2!$A$2:$A$31)</f>
        <v>иные работы услуги</v>
      </c>
      <c r="B76" s="65" t="s">
        <v>347</v>
      </c>
      <c r="C76" s="11">
        <v>51000</v>
      </c>
      <c r="D76" s="11">
        <f t="shared" si="12"/>
        <v>51000</v>
      </c>
      <c r="E76" s="11"/>
      <c r="F76" s="12">
        <f t="shared" si="11"/>
        <v>51000</v>
      </c>
      <c r="G76" s="78">
        <f t="shared" si="5"/>
        <v>0</v>
      </c>
      <c r="I76" s="24" t="str">
        <f t="shared" si="6"/>
        <v>\0107\791\99\0\00\00220\244</v>
      </c>
      <c r="J76" s="84">
        <f t="shared" si="7"/>
        <v>51000</v>
      </c>
      <c r="K76" s="24" t="str">
        <f t="shared" si="8"/>
        <v>\0107</v>
      </c>
      <c r="L76" s="84">
        <f t="shared" si="9"/>
        <v>0</v>
      </c>
      <c r="M76" s="24">
        <f t="shared" si="10"/>
        <v>0</v>
      </c>
    </row>
    <row r="77" spans="1:13" ht="24.75" customHeight="1">
      <c r="A77" s="64" t="str">
        <f>LOOKUP(MID(B77,28,7),Лист2!$B$2:$B$31,Лист2!$A$2:$A$31)</f>
        <v>Иные выплаты текущего характера организациям</v>
      </c>
      <c r="B77" s="65" t="s">
        <v>348</v>
      </c>
      <c r="C77" s="11">
        <v>20000</v>
      </c>
      <c r="D77" s="11">
        <f t="shared" si="12"/>
        <v>20000</v>
      </c>
      <c r="E77" s="11"/>
      <c r="F77" s="12">
        <f t="shared" si="11"/>
        <v>20000</v>
      </c>
      <c r="G77" s="78">
        <f t="shared" si="5"/>
        <v>0</v>
      </c>
      <c r="I77" s="24" t="str">
        <f t="shared" si="6"/>
        <v>\0111\791\99\0\00\07500\870</v>
      </c>
      <c r="J77" s="84">
        <f t="shared" si="7"/>
        <v>20000</v>
      </c>
      <c r="K77" s="24" t="str">
        <f t="shared" si="8"/>
        <v>\0111</v>
      </c>
      <c r="L77" s="84">
        <f t="shared" si="9"/>
        <v>0</v>
      </c>
      <c r="M77" s="24">
        <f t="shared" si="10"/>
        <v>0</v>
      </c>
    </row>
    <row r="78" spans="1:13" ht="24.75" customHeight="1">
      <c r="A78" s="64" t="str">
        <f>LOOKUP(MID(B78,28,7),Лист2!$B$2:$B$31,Лист2!$A$2:$A$31)</f>
        <v>оплата услуг потребления газа</v>
      </c>
      <c r="B78" s="65" t="s">
        <v>349</v>
      </c>
      <c r="C78" s="11">
        <v>56000</v>
      </c>
      <c r="D78" s="11">
        <f t="shared" si="12"/>
        <v>56000</v>
      </c>
      <c r="E78" s="11">
        <v>24015.49</v>
      </c>
      <c r="F78" s="12">
        <f t="shared" si="11"/>
        <v>31984.51</v>
      </c>
      <c r="G78" s="78">
        <f t="shared" si="5"/>
        <v>0.42884803571428576</v>
      </c>
      <c r="I78" s="24" t="str">
        <f t="shared" si="6"/>
        <v>\0113\791\30\0\00\09040\244</v>
      </c>
      <c r="J78" s="84">
        <f t="shared" si="7"/>
        <v>79500</v>
      </c>
      <c r="K78" s="24" t="str">
        <f t="shared" si="8"/>
        <v>\0113</v>
      </c>
      <c r="L78" s="84">
        <f t="shared" si="9"/>
        <v>47515.490000000005</v>
      </c>
      <c r="M78" s="24">
        <f t="shared" si="10"/>
        <v>59.76791194968555</v>
      </c>
    </row>
    <row r="79" spans="1:13" ht="24.75" customHeight="1">
      <c r="A79" s="64" t="str">
        <f>LOOKUP(MID(B79,28,7),Лист2!$B$2:$B$31,Лист2!$A$2:$A$31)</f>
        <v>иные работы услуги</v>
      </c>
      <c r="B79" s="65" t="s">
        <v>407</v>
      </c>
      <c r="C79" s="15">
        <v>23500</v>
      </c>
      <c r="D79" s="11">
        <f t="shared" si="12"/>
        <v>23500</v>
      </c>
      <c r="E79" s="15">
        <v>23500</v>
      </c>
      <c r="F79" s="12">
        <f t="shared" si="11"/>
        <v>0</v>
      </c>
      <c r="G79" s="78">
        <f t="shared" si="5"/>
        <v>1</v>
      </c>
      <c r="I79" s="24" t="str">
        <f t="shared" si="6"/>
        <v>\0113\791\30\0\00\09040\244</v>
      </c>
      <c r="J79" s="84">
        <f t="shared" si="7"/>
        <v>79500</v>
      </c>
      <c r="K79" s="24" t="str">
        <f t="shared" si="8"/>
        <v>\0113</v>
      </c>
      <c r="L79" s="84">
        <f t="shared" si="9"/>
        <v>47515.490000000005</v>
      </c>
      <c r="M79" s="24">
        <f t="shared" si="10"/>
        <v>59.76791194968555</v>
      </c>
    </row>
    <row r="80" spans="1:13" ht="24.75" customHeight="1">
      <c r="A80" s="64" t="str">
        <f>LOOKUP(MID(B80,28,7),Лист2!$B$2:$B$31,Лист2!$A$2:$A$31)</f>
        <v>Заработная плата</v>
      </c>
      <c r="B80" s="65" t="s">
        <v>350</v>
      </c>
      <c r="C80" s="11">
        <v>63000</v>
      </c>
      <c r="D80" s="11">
        <f t="shared" si="12"/>
        <v>63000</v>
      </c>
      <c r="E80" s="11">
        <v>11382.7</v>
      </c>
      <c r="F80" s="12">
        <f t="shared" si="11"/>
        <v>51617.3</v>
      </c>
      <c r="G80" s="78">
        <f t="shared" si="5"/>
        <v>0.1806777777777778</v>
      </c>
      <c r="I80" s="24" t="str">
        <f t="shared" si="6"/>
        <v>\0203\791\99\0\00\51180\121</v>
      </c>
      <c r="J80" s="84">
        <f t="shared" si="7"/>
        <v>63000</v>
      </c>
      <c r="K80" s="24" t="str">
        <f t="shared" si="8"/>
        <v>\0203</v>
      </c>
      <c r="L80" s="84">
        <f t="shared" si="9"/>
        <v>11382.7</v>
      </c>
      <c r="M80" s="24">
        <f t="shared" si="10"/>
        <v>18.067777777777778</v>
      </c>
    </row>
    <row r="81" spans="1:13" ht="24.75" customHeight="1">
      <c r="A81" s="64" t="str">
        <f>LOOKUP(MID(B81,28,7),Лист2!$B$2:$B$31,Лист2!$A$2:$A$31)</f>
        <v>Начисления на выплаты по оплате труда</v>
      </c>
      <c r="B81" s="65" t="s">
        <v>351</v>
      </c>
      <c r="C81" s="11">
        <v>20300</v>
      </c>
      <c r="D81" s="11">
        <f t="shared" si="12"/>
        <v>20300</v>
      </c>
      <c r="E81" s="11">
        <v>3437.58</v>
      </c>
      <c r="F81" s="12">
        <f t="shared" si="11"/>
        <v>16862.42</v>
      </c>
      <c r="G81" s="78">
        <f t="shared" si="5"/>
        <v>0.16933891625615763</v>
      </c>
      <c r="I81" s="24" t="str">
        <f t="shared" si="6"/>
        <v>\0203\791\99\0\00\51180\129</v>
      </c>
      <c r="J81" s="84">
        <f t="shared" si="7"/>
        <v>20300</v>
      </c>
      <c r="K81" s="24" t="str">
        <f t="shared" si="8"/>
        <v>\0203</v>
      </c>
      <c r="L81" s="84">
        <f t="shared" si="9"/>
        <v>3437.58</v>
      </c>
      <c r="M81" s="24">
        <f t="shared" si="10"/>
        <v>16.933891625615765</v>
      </c>
    </row>
    <row r="82" spans="1:13" ht="24.75" customHeight="1">
      <c r="A82" s="64" t="str">
        <f>LOOKUP(MID(B82,28,7),Лист2!$B$2:$B$31,Лист2!$A$2:$A$31)</f>
        <v>иные работы услуги</v>
      </c>
      <c r="B82" s="65" t="s">
        <v>352</v>
      </c>
      <c r="C82" s="11">
        <v>20000</v>
      </c>
      <c r="D82" s="11">
        <f t="shared" si="12"/>
        <v>20000</v>
      </c>
      <c r="E82" s="11"/>
      <c r="F82" s="12">
        <f t="shared" si="11"/>
        <v>20000</v>
      </c>
      <c r="G82" s="78">
        <f t="shared" si="5"/>
        <v>0</v>
      </c>
      <c r="I82" s="24" t="str">
        <f t="shared" si="6"/>
        <v>\0310\791\30\0\00\24300\244</v>
      </c>
      <c r="J82" s="84">
        <f t="shared" si="7"/>
        <v>60000</v>
      </c>
      <c r="K82" s="24" t="str">
        <f t="shared" si="8"/>
        <v>\0310</v>
      </c>
      <c r="L82" s="84">
        <f t="shared" si="9"/>
        <v>10000</v>
      </c>
      <c r="M82" s="24">
        <f t="shared" si="10"/>
        <v>16.666666666666668</v>
      </c>
    </row>
    <row r="83" spans="1:13" ht="24.75" customHeight="1">
      <c r="A83" s="64" t="str">
        <f>LOOKUP(MID(B83,28,7),Лист2!$B$2:$B$31,Лист2!$A$2:$A$31)</f>
        <v>Иные расходы,связанные с увеличением стоимости основных средств</v>
      </c>
      <c r="B83" s="65" t="s">
        <v>353</v>
      </c>
      <c r="C83" s="15">
        <v>20000</v>
      </c>
      <c r="D83" s="11">
        <f t="shared" si="12"/>
        <v>20000</v>
      </c>
      <c r="E83" s="15"/>
      <c r="F83" s="12">
        <f t="shared" si="11"/>
        <v>20000</v>
      </c>
      <c r="G83" s="78">
        <f t="shared" si="5"/>
        <v>0</v>
      </c>
      <c r="I83" s="24" t="str">
        <f t="shared" si="6"/>
        <v>\0310\791\30\0\00\24300\244</v>
      </c>
      <c r="J83" s="84">
        <f t="shared" si="7"/>
        <v>60000</v>
      </c>
      <c r="K83" s="24" t="str">
        <f t="shared" si="8"/>
        <v>\0310</v>
      </c>
      <c r="L83" s="84">
        <f t="shared" si="9"/>
        <v>10000</v>
      </c>
      <c r="M83" s="24">
        <f t="shared" si="10"/>
        <v>16.666666666666668</v>
      </c>
    </row>
    <row r="84" spans="1:13" ht="24.75" customHeight="1">
      <c r="A84" s="64" t="str">
        <f>LOOKUP(MID(B84,28,7),Лист2!$B$2:$B$31,Лист2!$A$2:$A$31)</f>
        <v>Увеличение стоимости прочих оборотных запасов (материалов)</v>
      </c>
      <c r="B84" s="65" t="s">
        <v>354</v>
      </c>
      <c r="C84" s="16">
        <v>20000</v>
      </c>
      <c r="D84" s="11">
        <f>C84</f>
        <v>20000</v>
      </c>
      <c r="E84" s="16">
        <v>10000</v>
      </c>
      <c r="F84" s="12">
        <f t="shared" si="11"/>
        <v>10000</v>
      </c>
      <c r="G84" s="78">
        <f>E84/D84</f>
        <v>0.5</v>
      </c>
      <c r="I84" s="24" t="str">
        <f t="shared" si="6"/>
        <v>\0310\791\30\0\00\24300\244</v>
      </c>
      <c r="J84" s="84">
        <f t="shared" si="7"/>
        <v>60000</v>
      </c>
      <c r="K84" s="24" t="str">
        <f t="shared" si="8"/>
        <v>\0310</v>
      </c>
      <c r="L84" s="84">
        <f t="shared" si="9"/>
        <v>10000</v>
      </c>
      <c r="M84" s="24">
        <f t="shared" si="10"/>
        <v>16.666666666666668</v>
      </c>
    </row>
    <row r="85" spans="1:13" ht="24.75" customHeight="1">
      <c r="A85" s="64" t="str">
        <f>LOOKUP(MID(B85,28,7),Лист2!$B$2:$B$31,Лист2!$A$2:$A$31)</f>
        <v>иные работы услуги</v>
      </c>
      <c r="B85" s="65" t="s">
        <v>355</v>
      </c>
      <c r="C85" s="16">
        <v>5000</v>
      </c>
      <c r="D85" s="11">
        <f>C85</f>
        <v>5000</v>
      </c>
      <c r="E85" s="16"/>
      <c r="F85" s="12">
        <f t="shared" si="11"/>
        <v>5000</v>
      </c>
      <c r="G85" s="78">
        <f>E85/D85</f>
        <v>0</v>
      </c>
      <c r="I85" s="24" t="str">
        <f t="shared" si="6"/>
        <v>\0314\791\30\0\00\24700\244</v>
      </c>
      <c r="J85" s="84">
        <f t="shared" si="7"/>
        <v>5000</v>
      </c>
      <c r="K85" s="24" t="str">
        <f t="shared" si="8"/>
        <v>\0314</v>
      </c>
      <c r="L85" s="84">
        <f t="shared" si="9"/>
        <v>0</v>
      </c>
      <c r="M85" s="24">
        <f t="shared" si="10"/>
        <v>0</v>
      </c>
    </row>
    <row r="86" spans="1:13" ht="24.75" customHeight="1">
      <c r="A86" s="64" t="str">
        <f>LOOKUP(MID(B86,28,7),Лист2!$B$2:$B$31,Лист2!$A$2:$A$31)</f>
        <v>Другие расходы по содержанию имущества</v>
      </c>
      <c r="B86" s="65" t="s">
        <v>356</v>
      </c>
      <c r="C86" s="16">
        <v>70000</v>
      </c>
      <c r="D86" s="11">
        <f>C86</f>
        <v>70000</v>
      </c>
      <c r="E86" s="16">
        <v>17500</v>
      </c>
      <c r="F86" s="12">
        <f t="shared" si="11"/>
        <v>52500</v>
      </c>
      <c r="G86" s="78">
        <f>E86/D86</f>
        <v>0.25</v>
      </c>
      <c r="I86" s="24" t="str">
        <f t="shared" si="6"/>
        <v>\0409\791\30\0\00\03150\244</v>
      </c>
      <c r="J86" s="84">
        <f t="shared" si="7"/>
        <v>70000</v>
      </c>
      <c r="K86" s="24" t="str">
        <f t="shared" si="8"/>
        <v>\0409</v>
      </c>
      <c r="L86" s="84">
        <f t="shared" si="9"/>
        <v>17500</v>
      </c>
      <c r="M86" s="24">
        <f t="shared" si="10"/>
        <v>25</v>
      </c>
    </row>
    <row r="87" spans="1:13" ht="24.75" customHeight="1">
      <c r="A87" s="64" t="str">
        <f>LOOKUP(MID(B87,28,7),Лист2!$B$2:$B$31,Лист2!$A$2:$A$31)</f>
        <v>Другие расходы по содержанию имущества</v>
      </c>
      <c r="B87" s="65" t="s">
        <v>408</v>
      </c>
      <c r="C87" s="16">
        <v>100000</v>
      </c>
      <c r="D87" s="11">
        <f t="shared" si="12"/>
        <v>100000</v>
      </c>
      <c r="E87" s="16"/>
      <c r="F87" s="12">
        <f t="shared" si="11"/>
        <v>100000</v>
      </c>
      <c r="G87" s="78">
        <f t="shared" si="5"/>
        <v>0</v>
      </c>
      <c r="I87" s="24" t="str">
        <f t="shared" si="6"/>
        <v>\0409\791\30\0\00\74040\244</v>
      </c>
      <c r="J87" s="84">
        <f t="shared" si="7"/>
        <v>100000</v>
      </c>
      <c r="K87" s="24" t="str">
        <f t="shared" si="8"/>
        <v>\0409</v>
      </c>
      <c r="L87" s="84">
        <f t="shared" si="9"/>
        <v>0</v>
      </c>
      <c r="M87" s="24">
        <f t="shared" si="10"/>
        <v>0</v>
      </c>
    </row>
    <row r="88" spans="1:13" ht="24.75" customHeight="1">
      <c r="A88" s="64" t="str">
        <f>LOOKUP(MID(B88,28,7),Лист2!$B$2:$B$31,Лист2!$A$2:$A$31)</f>
        <v>иные работы услуги</v>
      </c>
      <c r="B88" s="65" t="s">
        <v>357</v>
      </c>
      <c r="C88" s="16">
        <v>35000</v>
      </c>
      <c r="D88" s="11">
        <f t="shared" si="12"/>
        <v>35000</v>
      </c>
      <c r="E88" s="16"/>
      <c r="F88" s="12">
        <f t="shared" si="11"/>
        <v>35000</v>
      </c>
      <c r="G88" s="78">
        <f t="shared" si="5"/>
        <v>0</v>
      </c>
      <c r="I88" s="24" t="str">
        <f t="shared" si="6"/>
        <v>\0409\791\30\3\00\03150\244</v>
      </c>
      <c r="J88" s="84">
        <f t="shared" si="7"/>
        <v>35000</v>
      </c>
      <c r="K88" s="24" t="str">
        <f t="shared" si="8"/>
        <v>\0409</v>
      </c>
      <c r="L88" s="84">
        <f t="shared" si="9"/>
        <v>0</v>
      </c>
      <c r="M88" s="24">
        <f t="shared" si="10"/>
        <v>0</v>
      </c>
    </row>
    <row r="89" spans="1:13" ht="24.75" customHeight="1">
      <c r="A89" s="64" t="str">
        <f>LOOKUP(MID(B89,28,7),Лист2!$B$2:$B$31,Лист2!$A$2:$A$31)</f>
        <v>текущий ремонт</v>
      </c>
      <c r="B89" s="65" t="s">
        <v>358</v>
      </c>
      <c r="C89" s="16">
        <v>40000</v>
      </c>
      <c r="D89" s="11">
        <f t="shared" si="12"/>
        <v>40000</v>
      </c>
      <c r="E89" s="16"/>
      <c r="F89" s="12">
        <f t="shared" si="11"/>
        <v>40000</v>
      </c>
      <c r="G89" s="78">
        <f t="shared" si="5"/>
        <v>0</v>
      </c>
      <c r="I89" s="24" t="str">
        <f t="shared" si="6"/>
        <v>\0502\791\30\0\00\03560\244</v>
      </c>
      <c r="J89" s="84">
        <f t="shared" si="7"/>
        <v>110400</v>
      </c>
      <c r="K89" s="24" t="str">
        <f t="shared" si="8"/>
        <v>\0502</v>
      </c>
      <c r="L89" s="84">
        <f t="shared" si="9"/>
        <v>25000</v>
      </c>
      <c r="M89" s="24">
        <f t="shared" si="10"/>
        <v>22.644927536231883</v>
      </c>
    </row>
    <row r="90" spans="1:13" ht="24.75" customHeight="1">
      <c r="A90" s="64" t="str">
        <f>LOOKUP(MID(B90,28,7),Лист2!$B$2:$B$31,Лист2!$A$2:$A$31)</f>
        <v>иные работы услуги</v>
      </c>
      <c r="B90" s="65" t="s">
        <v>367</v>
      </c>
      <c r="C90" s="16">
        <v>60000</v>
      </c>
      <c r="D90" s="11">
        <f t="shared" si="12"/>
        <v>60000</v>
      </c>
      <c r="E90" s="16">
        <v>25000</v>
      </c>
      <c r="F90" s="12">
        <f t="shared" si="11"/>
        <v>35000</v>
      </c>
      <c r="G90" s="78">
        <f t="shared" si="5"/>
        <v>0.4166666666666667</v>
      </c>
      <c r="I90" s="24" t="str">
        <f t="shared" si="6"/>
        <v>\0502\791\30\0\00\03560\244</v>
      </c>
      <c r="J90" s="84">
        <f t="shared" si="7"/>
        <v>110400</v>
      </c>
      <c r="K90" s="24" t="str">
        <f t="shared" si="8"/>
        <v>\0502</v>
      </c>
      <c r="L90" s="84">
        <f t="shared" si="9"/>
        <v>25000</v>
      </c>
      <c r="M90" s="24">
        <f t="shared" si="10"/>
        <v>22.644927536231883</v>
      </c>
    </row>
    <row r="91" spans="1:13" ht="24.75" customHeight="1">
      <c r="A91" s="64" t="str">
        <f>LOOKUP(MID(B91,28,7),Лист2!$B$2:$B$31,Лист2!$A$2:$A$31)</f>
        <v>иные работы услуги</v>
      </c>
      <c r="B91" s="65" t="s">
        <v>409</v>
      </c>
      <c r="C91" s="15">
        <v>10400</v>
      </c>
      <c r="D91" s="11">
        <f aca="true" t="shared" si="13" ref="D91:D113">C91</f>
        <v>10400</v>
      </c>
      <c r="E91" s="15"/>
      <c r="F91" s="12">
        <f t="shared" si="11"/>
        <v>10400</v>
      </c>
      <c r="G91" s="78">
        <f t="shared" si="5"/>
        <v>0</v>
      </c>
      <c r="I91" s="24" t="str">
        <f t="shared" si="6"/>
        <v>\0502\791\30\0\00\03560\244</v>
      </c>
      <c r="J91" s="84">
        <f t="shared" si="7"/>
        <v>110400</v>
      </c>
      <c r="K91" s="24" t="str">
        <f t="shared" si="8"/>
        <v>\0502</v>
      </c>
      <c r="L91" s="84">
        <f t="shared" si="9"/>
        <v>25000</v>
      </c>
      <c r="M91" s="24">
        <f t="shared" si="10"/>
        <v>22.644927536231883</v>
      </c>
    </row>
    <row r="92" spans="1:13" ht="24.75" customHeight="1">
      <c r="A92" s="64" t="str">
        <f>LOOKUP(MID(B92,28,7),Лист2!$B$2:$B$31,Лист2!$A$2:$A$31)</f>
        <v>текущий ремонт</v>
      </c>
      <c r="B92" s="65" t="s">
        <v>410</v>
      </c>
      <c r="C92" s="15">
        <v>149672.7</v>
      </c>
      <c r="D92" s="11">
        <f t="shared" si="13"/>
        <v>149672.7</v>
      </c>
      <c r="E92" s="15"/>
      <c r="F92" s="12">
        <f t="shared" si="11"/>
        <v>149672.7</v>
      </c>
      <c r="G92" s="78">
        <f t="shared" si="5"/>
        <v>0</v>
      </c>
      <c r="I92" s="24" t="str">
        <f t="shared" si="6"/>
        <v>\0503\791\21\0\07\S2310\244</v>
      </c>
      <c r="J92" s="84">
        <f t="shared" si="7"/>
        <v>166303</v>
      </c>
      <c r="K92" s="24" t="str">
        <f t="shared" si="8"/>
        <v>\0503</v>
      </c>
      <c r="L92" s="84">
        <f t="shared" si="9"/>
        <v>0</v>
      </c>
      <c r="M92" s="24">
        <f t="shared" si="10"/>
        <v>0</v>
      </c>
    </row>
    <row r="93" spans="1:13" ht="24.75" customHeight="1">
      <c r="A93" s="64" t="str">
        <f>LOOKUP(MID(B93,28,7),Лист2!$B$2:$B$31,Лист2!$A$2:$A$31)</f>
        <v>текущий ремонт</v>
      </c>
      <c r="B93" s="65" t="s">
        <v>411</v>
      </c>
      <c r="C93" s="15">
        <v>16630.3</v>
      </c>
      <c r="D93" s="11">
        <f>C93</f>
        <v>16630.3</v>
      </c>
      <c r="E93" s="15"/>
      <c r="F93" s="12">
        <f t="shared" si="11"/>
        <v>16630.3</v>
      </c>
      <c r="G93" s="78">
        <f t="shared" si="5"/>
        <v>0</v>
      </c>
      <c r="I93" s="24" t="str">
        <f t="shared" si="6"/>
        <v>\0503\791\21\0\07\S2310\244</v>
      </c>
      <c r="J93" s="84">
        <f t="shared" si="7"/>
        <v>166303</v>
      </c>
      <c r="K93" s="24" t="str">
        <f t="shared" si="8"/>
        <v>\0503</v>
      </c>
      <c r="L93" s="84">
        <f t="shared" si="9"/>
        <v>0</v>
      </c>
      <c r="M93" s="24">
        <f t="shared" si="10"/>
        <v>0</v>
      </c>
    </row>
    <row r="94" spans="1:13" ht="24.75" customHeight="1">
      <c r="A94" s="64" t="str">
        <f>LOOKUP(MID(B94,28,7),Лист2!$B$2:$B$31,Лист2!$A$2:$A$31)</f>
        <v>оплата услуг потребления электроэнергии</v>
      </c>
      <c r="B94" s="65" t="s">
        <v>359</v>
      </c>
      <c r="C94" s="15">
        <v>50000</v>
      </c>
      <c r="D94" s="11">
        <f t="shared" si="13"/>
        <v>50000</v>
      </c>
      <c r="E94" s="15">
        <v>49439.95</v>
      </c>
      <c r="F94" s="12">
        <f t="shared" si="11"/>
        <v>560.0500000000029</v>
      </c>
      <c r="G94" s="78">
        <f t="shared" si="5"/>
        <v>0.988799</v>
      </c>
      <c r="I94" s="24" t="str">
        <f t="shared" si="6"/>
        <v>\0503\791\30\0\01\06050\244</v>
      </c>
      <c r="J94" s="84">
        <f t="shared" si="7"/>
        <v>50000</v>
      </c>
      <c r="K94" s="24" t="str">
        <f t="shared" si="8"/>
        <v>\0503</v>
      </c>
      <c r="L94" s="84">
        <f t="shared" si="9"/>
        <v>49439.95</v>
      </c>
      <c r="M94" s="24">
        <f t="shared" si="10"/>
        <v>98.8799</v>
      </c>
    </row>
    <row r="95" spans="1:13" ht="24.75" customHeight="1">
      <c r="A95" s="64" t="str">
        <f>LOOKUP(MID(B95,28,7),Лист2!$B$2:$B$31,Лист2!$A$2:$A$31)</f>
        <v>оплата услуг потребления электроэнергии</v>
      </c>
      <c r="B95" s="65" t="s">
        <v>368</v>
      </c>
      <c r="C95" s="15">
        <v>200000</v>
      </c>
      <c r="D95" s="11">
        <f>C95</f>
        <v>200000</v>
      </c>
      <c r="E95" s="15">
        <v>7232</v>
      </c>
      <c r="F95" s="12">
        <f t="shared" si="11"/>
        <v>192768</v>
      </c>
      <c r="G95" s="78">
        <f t="shared" si="5"/>
        <v>0.03616</v>
      </c>
      <c r="I95" s="24" t="str">
        <f t="shared" si="6"/>
        <v>\0503\791\30\0\01\74040\244</v>
      </c>
      <c r="J95" s="84">
        <f t="shared" si="7"/>
        <v>260000</v>
      </c>
      <c r="K95" s="24" t="str">
        <f t="shared" si="8"/>
        <v>\0503</v>
      </c>
      <c r="L95" s="84">
        <f t="shared" si="9"/>
        <v>57232</v>
      </c>
      <c r="M95" s="24">
        <f t="shared" si="10"/>
        <v>22.012307692307694</v>
      </c>
    </row>
    <row r="96" spans="1:13" ht="24.75" customHeight="1">
      <c r="A96" s="64" t="str">
        <f>LOOKUP(MID(B96,28,7),Лист2!$B$2:$B$31,Лист2!$A$2:$A$31)</f>
        <v>иные работы услуги</v>
      </c>
      <c r="B96" s="65" t="s">
        <v>369</v>
      </c>
      <c r="C96" s="15">
        <v>20000</v>
      </c>
      <c r="D96" s="11">
        <f>C96</f>
        <v>20000</v>
      </c>
      <c r="E96" s="15">
        <v>10000</v>
      </c>
      <c r="F96" s="12">
        <f t="shared" si="11"/>
        <v>10000</v>
      </c>
      <c r="G96" s="78">
        <f>E96/D96</f>
        <v>0.5</v>
      </c>
      <c r="I96" s="24" t="str">
        <f t="shared" si="6"/>
        <v>\0503\791\30\0\01\74040\244</v>
      </c>
      <c r="J96" s="84">
        <f t="shared" si="7"/>
        <v>260000</v>
      </c>
      <c r="K96" s="24" t="str">
        <f t="shared" si="8"/>
        <v>\0503</v>
      </c>
      <c r="L96" s="84">
        <f t="shared" si="9"/>
        <v>57232</v>
      </c>
      <c r="M96" s="24">
        <f t="shared" si="10"/>
        <v>22.012307692307694</v>
      </c>
    </row>
    <row r="97" spans="1:13" ht="24.75" customHeight="1">
      <c r="A97" s="64" t="str">
        <f>LOOKUP(MID(B97,28,7),Лист2!$B$2:$B$31,Лист2!$A$2:$A$31)</f>
        <v>Увеличение стоимости прочих оборотных запасов (материалов)</v>
      </c>
      <c r="B97" s="65" t="s">
        <v>370</v>
      </c>
      <c r="C97" s="15">
        <v>40000</v>
      </c>
      <c r="D97" s="11">
        <f t="shared" si="13"/>
        <v>40000</v>
      </c>
      <c r="E97" s="15">
        <v>40000</v>
      </c>
      <c r="F97" s="12">
        <f t="shared" si="11"/>
        <v>0</v>
      </c>
      <c r="G97" s="78">
        <f t="shared" si="5"/>
        <v>1</v>
      </c>
      <c r="I97" s="24" t="str">
        <f t="shared" si="6"/>
        <v>\0503\791\30\0\01\74040\244</v>
      </c>
      <c r="J97" s="84">
        <f t="shared" si="7"/>
        <v>260000</v>
      </c>
      <c r="K97" s="24" t="str">
        <f t="shared" si="8"/>
        <v>\0503</v>
      </c>
      <c r="L97" s="84">
        <f t="shared" si="9"/>
        <v>57232</v>
      </c>
      <c r="M97" s="24">
        <f t="shared" si="10"/>
        <v>22.012307692307694</v>
      </c>
    </row>
    <row r="98" spans="1:13" ht="24.75" customHeight="1">
      <c r="A98" s="64" t="str">
        <f>LOOKUP(MID(B98,28,7),Лист2!$B$2:$B$31,Лист2!$A$2:$A$31)</f>
        <v>иные работы услуги</v>
      </c>
      <c r="B98" s="65" t="s">
        <v>360</v>
      </c>
      <c r="C98" s="15">
        <v>100000</v>
      </c>
      <c r="D98" s="11">
        <f t="shared" si="13"/>
        <v>100000</v>
      </c>
      <c r="E98" s="15">
        <v>12000</v>
      </c>
      <c r="F98" s="12">
        <f t="shared" si="11"/>
        <v>88000</v>
      </c>
      <c r="G98" s="78">
        <f t="shared" si="5"/>
        <v>0.12</v>
      </c>
      <c r="I98" s="24" t="str">
        <f t="shared" si="6"/>
        <v>\0503\791\30\0\03\06050\244</v>
      </c>
      <c r="J98" s="84">
        <f t="shared" si="7"/>
        <v>100000</v>
      </c>
      <c r="K98" s="24" t="str">
        <f t="shared" si="8"/>
        <v>\0503</v>
      </c>
      <c r="L98" s="84">
        <f t="shared" si="9"/>
        <v>12000</v>
      </c>
      <c r="M98" s="24">
        <f t="shared" si="10"/>
        <v>12</v>
      </c>
    </row>
    <row r="99" spans="1:13" ht="24.75" customHeight="1">
      <c r="A99" s="64" t="str">
        <f>LOOKUP(MID(B99,28,7),Лист2!$B$2:$B$31,Лист2!$A$2:$A$31)</f>
        <v>Расходы по содержанию имущества</v>
      </c>
      <c r="B99" s="65" t="s">
        <v>361</v>
      </c>
      <c r="C99" s="15">
        <v>4000</v>
      </c>
      <c r="D99" s="11">
        <f t="shared" si="13"/>
        <v>4000</v>
      </c>
      <c r="E99" s="15"/>
      <c r="F99" s="12">
        <f t="shared" si="11"/>
        <v>4000</v>
      </c>
      <c r="G99" s="78">
        <f t="shared" si="5"/>
        <v>0</v>
      </c>
      <c r="I99" s="24" t="str">
        <f t="shared" si="6"/>
        <v>\0503\791\30\0\04\06050\244</v>
      </c>
      <c r="J99" s="84">
        <f t="shared" si="7"/>
        <v>54000</v>
      </c>
      <c r="K99" s="24" t="str">
        <f t="shared" si="8"/>
        <v>\0503</v>
      </c>
      <c r="L99" s="84">
        <f t="shared" si="9"/>
        <v>25000</v>
      </c>
      <c r="M99" s="24">
        <f t="shared" si="10"/>
        <v>46.2962962962963</v>
      </c>
    </row>
    <row r="100" spans="1:13" ht="24.75" customHeight="1">
      <c r="A100" s="64" t="str">
        <f>LOOKUP(MID(B100,28,7),Лист2!$B$2:$B$31,Лист2!$A$2:$A$31)</f>
        <v>Увеличение стоимости прочих оборотных запасов (материалов)</v>
      </c>
      <c r="B100" s="65" t="s">
        <v>362</v>
      </c>
      <c r="C100" s="15">
        <v>44000</v>
      </c>
      <c r="D100" s="11">
        <f t="shared" si="13"/>
        <v>44000</v>
      </c>
      <c r="E100" s="15">
        <v>19000</v>
      </c>
      <c r="F100" s="12">
        <f t="shared" si="11"/>
        <v>25000</v>
      </c>
      <c r="G100" s="78">
        <f t="shared" si="5"/>
        <v>0.4318181818181818</v>
      </c>
      <c r="I100" s="24" t="str">
        <f t="shared" si="6"/>
        <v>\0503\791\30\0\04\06050\244</v>
      </c>
      <c r="J100" s="84">
        <f t="shared" si="7"/>
        <v>54000</v>
      </c>
      <c r="K100" s="24" t="str">
        <f t="shared" si="8"/>
        <v>\0503</v>
      </c>
      <c r="L100" s="84">
        <f t="shared" si="9"/>
        <v>25000</v>
      </c>
      <c r="M100" s="24">
        <f t="shared" si="10"/>
        <v>46.2962962962963</v>
      </c>
    </row>
    <row r="101" spans="1:13" ht="24.75" customHeight="1">
      <c r="A101" s="64" t="str">
        <f>LOOKUP(MID(B101,28,7),Лист2!$B$2:$B$31,Лист2!$A$2:$A$31)</f>
        <v>Увеличение стоимости прочих материальных запасов однократного применения</v>
      </c>
      <c r="B101" s="65" t="s">
        <v>412</v>
      </c>
      <c r="C101" s="15">
        <v>6000</v>
      </c>
      <c r="D101" s="11">
        <f t="shared" si="13"/>
        <v>6000</v>
      </c>
      <c r="E101" s="15">
        <v>6000</v>
      </c>
      <c r="F101" s="12">
        <f t="shared" si="11"/>
        <v>0</v>
      </c>
      <c r="G101" s="78">
        <f t="shared" si="5"/>
        <v>1</v>
      </c>
      <c r="I101" s="24" t="str">
        <f t="shared" si="6"/>
        <v>\0503\791\30\0\04\06050\244</v>
      </c>
      <c r="J101" s="84">
        <f t="shared" si="7"/>
        <v>54000</v>
      </c>
      <c r="K101" s="24" t="str">
        <f t="shared" si="8"/>
        <v>\0503</v>
      </c>
      <c r="L101" s="84">
        <f t="shared" si="9"/>
        <v>25000</v>
      </c>
      <c r="M101" s="24">
        <f t="shared" si="10"/>
        <v>46.2962962962963</v>
      </c>
    </row>
    <row r="102" spans="1:13" ht="24.75" customHeight="1">
      <c r="A102" s="64" t="str">
        <f>LOOKUP(MID(B102,28,7),Лист2!$B$2:$B$31,Лист2!$A$2:$A$31)</f>
        <v>Увеличение стоимости прочих оборотных запасов (материалов)</v>
      </c>
      <c r="B102" s="65" t="s">
        <v>371</v>
      </c>
      <c r="C102" s="15">
        <v>140000</v>
      </c>
      <c r="D102" s="11">
        <f t="shared" si="13"/>
        <v>140000</v>
      </c>
      <c r="E102" s="15"/>
      <c r="F102" s="12">
        <f t="shared" si="11"/>
        <v>140000</v>
      </c>
      <c r="G102" s="78">
        <f t="shared" si="5"/>
        <v>0</v>
      </c>
      <c r="I102" s="24" t="str">
        <f t="shared" si="6"/>
        <v>\0503\791\30\0\04\74040\244</v>
      </c>
      <c r="J102" s="84">
        <f t="shared" si="7"/>
        <v>140000</v>
      </c>
      <c r="K102" s="24" t="str">
        <f t="shared" si="8"/>
        <v>\0503</v>
      </c>
      <c r="L102" s="84">
        <f t="shared" si="9"/>
        <v>0</v>
      </c>
      <c r="M102" s="24">
        <f t="shared" si="10"/>
        <v>0</v>
      </c>
    </row>
    <row r="103" spans="1:13" ht="24" customHeight="1">
      <c r="A103" s="64" t="str">
        <f>LOOKUP(MID(B103,28,7),Лист2!$B$2:$B$31,Лист2!$A$2:$A$31)</f>
        <v>Увеличение стоимости прочих материальных запасов однократного применения</v>
      </c>
      <c r="B103" s="65" t="s">
        <v>363</v>
      </c>
      <c r="C103" s="15">
        <v>30000</v>
      </c>
      <c r="D103" s="11">
        <f t="shared" si="13"/>
        <v>30000</v>
      </c>
      <c r="E103" s="15">
        <v>15000</v>
      </c>
      <c r="F103" s="12">
        <f t="shared" si="11"/>
        <v>15000</v>
      </c>
      <c r="G103" s="78">
        <f t="shared" si="5"/>
        <v>0.5</v>
      </c>
      <c r="I103" s="24" t="str">
        <f t="shared" si="6"/>
        <v>\0801\791\30\0\00\45870\244</v>
      </c>
      <c r="J103" s="84">
        <f t="shared" si="7"/>
        <v>30000</v>
      </c>
      <c r="K103" s="24" t="str">
        <f t="shared" si="8"/>
        <v>\0801</v>
      </c>
      <c r="L103" s="84">
        <f t="shared" si="9"/>
        <v>15000</v>
      </c>
      <c r="M103" s="24">
        <f t="shared" si="10"/>
        <v>50</v>
      </c>
    </row>
    <row r="104" spans="1:13" ht="24.75" customHeight="1">
      <c r="A104" s="64" t="str">
        <f>LOOKUP(MID(B104,28,7),Лист2!$B$2:$B$31,Лист2!$A$2:$A$31)</f>
        <v>Увеличение стоимости прочих материальных запасов однократного применения</v>
      </c>
      <c r="B104" s="65" t="s">
        <v>364</v>
      </c>
      <c r="C104" s="15">
        <v>20000</v>
      </c>
      <c r="D104" s="11">
        <f>C104</f>
        <v>20000</v>
      </c>
      <c r="E104" s="15"/>
      <c r="F104" s="12">
        <f t="shared" si="11"/>
        <v>20000</v>
      </c>
      <c r="G104" s="78">
        <f t="shared" si="5"/>
        <v>0</v>
      </c>
      <c r="I104" s="24" t="str">
        <f t="shared" si="6"/>
        <v>\1101\791\30\0\00\41870\244</v>
      </c>
      <c r="J104" s="84">
        <f t="shared" si="7"/>
        <v>20000</v>
      </c>
      <c r="K104" s="24" t="str">
        <f t="shared" si="8"/>
        <v>\1101</v>
      </c>
      <c r="L104" s="84">
        <f t="shared" si="9"/>
        <v>0</v>
      </c>
      <c r="M104" s="24">
        <f t="shared" si="10"/>
        <v>0</v>
      </c>
    </row>
    <row r="105" spans="1:7" ht="24.75" customHeight="1">
      <c r="A105" s="64" t="str">
        <f>LOOKUP(MID(B105,28,7),Лист2!$B$2:$B$31,Лист2!$A$2:$A$31)</f>
        <v>Увеличение стоимости прочих материальных запасов однократного применения</v>
      </c>
      <c r="B105" s="65" t="s">
        <v>365</v>
      </c>
      <c r="C105" s="15"/>
      <c r="D105" s="11">
        <f>C105</f>
        <v>0</v>
      </c>
      <c r="E105" s="15"/>
      <c r="F105" s="12">
        <f t="shared" si="11"/>
        <v>0</v>
      </c>
      <c r="G105" s="78" t="e">
        <f t="shared" si="5"/>
        <v>#DIV/0!</v>
      </c>
    </row>
    <row r="106" spans="1:7" ht="24.75" customHeight="1" hidden="1">
      <c r="A106" s="64" t="e">
        <f>LOOKUP(MID(B106,28,7),Лист2!$B$2:$B$31,Лист2!$A$2:$A$31)</f>
        <v>#N/A</v>
      </c>
      <c r="B106" s="65"/>
      <c r="C106" s="15"/>
      <c r="D106" s="11">
        <f t="shared" si="13"/>
        <v>0</v>
      </c>
      <c r="E106" s="15"/>
      <c r="F106" s="12">
        <f t="shared" si="11"/>
        <v>0</v>
      </c>
      <c r="G106" s="78" t="e">
        <f t="shared" si="5"/>
        <v>#DIV/0!</v>
      </c>
    </row>
    <row r="107" spans="1:7" ht="24.75" customHeight="1" hidden="1">
      <c r="A107" s="64" t="e">
        <f>LOOKUP(MID(B107,28,7),Лист2!$B$2:$B$31,Лист2!$A$2:$A$31)</f>
        <v>#N/A</v>
      </c>
      <c r="B107" s="65"/>
      <c r="C107" s="15"/>
      <c r="D107" s="11">
        <f t="shared" si="13"/>
        <v>0</v>
      </c>
      <c r="E107" s="15"/>
      <c r="F107" s="12">
        <f t="shared" si="11"/>
        <v>0</v>
      </c>
      <c r="G107" s="78" t="e">
        <f t="shared" si="5"/>
        <v>#DIV/0!</v>
      </c>
    </row>
    <row r="108" spans="1:7" ht="24.75" customHeight="1" hidden="1">
      <c r="A108" s="64" t="e">
        <f>LOOKUP(MID(B108,28,7),Лист2!$B$2:$B$31,Лист2!$A$2:$A$31)</f>
        <v>#N/A</v>
      </c>
      <c r="B108" s="65"/>
      <c r="C108" s="15"/>
      <c r="D108" s="11">
        <f>C108</f>
        <v>0</v>
      </c>
      <c r="E108" s="15"/>
      <c r="F108" s="12">
        <f t="shared" si="11"/>
        <v>0</v>
      </c>
      <c r="G108" s="78" t="e">
        <f t="shared" si="5"/>
        <v>#DIV/0!</v>
      </c>
    </row>
    <row r="109" spans="1:7" ht="24.75" customHeight="1" hidden="1">
      <c r="A109" s="64" t="e">
        <f>LOOKUP(MID(B109,28,7),Лист2!$B$2:$B$31,Лист2!$A$2:$A$31)</f>
        <v>#N/A</v>
      </c>
      <c r="B109" s="25"/>
      <c r="C109" s="15"/>
      <c r="D109" s="11">
        <f t="shared" si="13"/>
        <v>0</v>
      </c>
      <c r="E109" s="15"/>
      <c r="F109" s="12">
        <f t="shared" si="11"/>
        <v>0</v>
      </c>
      <c r="G109" s="78" t="e">
        <f t="shared" si="5"/>
        <v>#DIV/0!</v>
      </c>
    </row>
    <row r="110" spans="1:7" ht="24.75" customHeight="1" hidden="1">
      <c r="A110" s="64" t="e">
        <f>LOOKUP(MID(B110,28,7),Лист2!$B$2:$B$31,Лист2!$A$2:$A$31)</f>
        <v>#N/A</v>
      </c>
      <c r="B110" s="65"/>
      <c r="C110" s="15"/>
      <c r="D110" s="11">
        <f>C110</f>
        <v>0</v>
      </c>
      <c r="E110" s="26"/>
      <c r="F110" s="12">
        <f>SUM(C110-E110)</f>
        <v>0</v>
      </c>
      <c r="G110" s="78" t="e">
        <f t="shared" si="5"/>
        <v>#DIV/0!</v>
      </c>
    </row>
    <row r="111" spans="1:7" ht="42.75" customHeight="1" hidden="1">
      <c r="A111" s="64" t="e">
        <f>LOOKUP(MID(B111,28,7),Лист2!$B$2:$B$31,Лист2!$A$2:$A$31)</f>
        <v>#N/A</v>
      </c>
      <c r="B111" s="25"/>
      <c r="C111" s="15"/>
      <c r="D111" s="11">
        <f>C111</f>
        <v>0</v>
      </c>
      <c r="E111" s="16"/>
      <c r="F111" s="12">
        <f>SUM(C111-E111)</f>
        <v>0</v>
      </c>
      <c r="G111" s="78" t="e">
        <f>E111/D111</f>
        <v>#DIV/0!</v>
      </c>
    </row>
    <row r="112" spans="1:7" ht="24.75" customHeight="1" hidden="1">
      <c r="A112" s="64" t="e">
        <f>LOOKUP(MID(B112,28,7),Лист2!$B$2:$B$31,Лист2!$A$2:$A$31)</f>
        <v>#N/A</v>
      </c>
      <c r="B112" s="65"/>
      <c r="C112" s="15"/>
      <c r="D112" s="11">
        <f t="shared" si="13"/>
        <v>0</v>
      </c>
      <c r="E112" s="15"/>
      <c r="F112" s="12">
        <f>SUM(C112-E112)</f>
        <v>0</v>
      </c>
      <c r="G112" s="78" t="e">
        <f t="shared" si="5"/>
        <v>#DIV/0!</v>
      </c>
    </row>
    <row r="113" spans="1:7" ht="24.75" customHeight="1" hidden="1">
      <c r="A113" s="64" t="e">
        <f>LOOKUP(MID(B113,28,7),Лист2!$B$2:$B$31,Лист2!$A$2:$A$31)</f>
        <v>#N/A</v>
      </c>
      <c r="B113" s="65"/>
      <c r="C113" s="15"/>
      <c r="D113" s="11">
        <f t="shared" si="13"/>
        <v>0</v>
      </c>
      <c r="E113" s="15"/>
      <c r="F113" s="12">
        <f>SUM(C113-E113)</f>
        <v>0</v>
      </c>
      <c r="G113" s="78" t="e">
        <f t="shared" si="5"/>
        <v>#DIV/0!</v>
      </c>
    </row>
    <row r="114" spans="1:7" ht="24.75" customHeight="1" hidden="1">
      <c r="A114" s="64" t="e">
        <f>LOOKUP(MID(B114,28,7),Лист2!$B$2:$B$31,Лист2!$A$2:$A$31)</f>
        <v>#N/A</v>
      </c>
      <c r="B114" s="65"/>
      <c r="C114" s="15"/>
      <c r="D114" s="11">
        <f>C114</f>
        <v>0</v>
      </c>
      <c r="E114" s="15"/>
      <c r="F114" s="12">
        <f>SUM(C114-E114)</f>
        <v>0</v>
      </c>
      <c r="G114" s="78" t="e">
        <f>E114/D114</f>
        <v>#DIV/0!</v>
      </c>
    </row>
    <row r="115" spans="1:7" ht="24.75" customHeight="1" hidden="1">
      <c r="A115" s="64" t="e">
        <f>LOOKUP(MID(B115,28,7),Лист2!$B$2:$B$31,Лист2!$A$2:$A$31)</f>
        <v>#N/A</v>
      </c>
      <c r="B115" s="65"/>
      <c r="C115" s="15"/>
      <c r="D115" s="11"/>
      <c r="E115" s="15"/>
      <c r="F115" s="12"/>
      <c r="G115" s="78"/>
    </row>
    <row r="116" spans="1:7" ht="24.75" customHeight="1" hidden="1">
      <c r="A116" s="64" t="e">
        <f>LOOKUP(MID(B116,28,7),Лист2!$B$2:$B$31,Лист2!$A$2:$A$31)</f>
        <v>#N/A</v>
      </c>
      <c r="B116" s="65"/>
      <c r="C116" s="15"/>
      <c r="D116" s="11"/>
      <c r="E116" s="15"/>
      <c r="F116" s="12"/>
      <c r="G116" s="78"/>
    </row>
    <row r="117" spans="1:7" ht="24.75" customHeight="1" hidden="1">
      <c r="A117" s="64"/>
      <c r="B117" s="65"/>
      <c r="C117" s="15"/>
      <c r="D117" s="11"/>
      <c r="E117" s="15"/>
      <c r="F117" s="12"/>
      <c r="G117" s="78"/>
    </row>
    <row r="118" spans="1:7" ht="24.75" customHeight="1" hidden="1">
      <c r="A118" s="64"/>
      <c r="B118" s="65"/>
      <c r="C118" s="15"/>
      <c r="D118" s="11"/>
      <c r="E118" s="15"/>
      <c r="F118" s="12"/>
      <c r="G118" s="78"/>
    </row>
    <row r="119" spans="1:7" ht="24.75" customHeight="1" hidden="1">
      <c r="A119" s="64"/>
      <c r="B119" s="65"/>
      <c r="C119" s="15"/>
      <c r="D119" s="11"/>
      <c r="E119" s="15"/>
      <c r="F119" s="12"/>
      <c r="G119" s="78"/>
    </row>
    <row r="120" spans="1:7" ht="24.75" customHeight="1" hidden="1">
      <c r="A120" s="64"/>
      <c r="B120" s="65"/>
      <c r="C120" s="15"/>
      <c r="D120" s="11"/>
      <c r="E120" s="15"/>
      <c r="F120" s="12"/>
      <c r="G120" s="78"/>
    </row>
    <row r="121" spans="1:7" ht="24.75" customHeight="1" hidden="1">
      <c r="A121" s="64"/>
      <c r="B121" s="65"/>
      <c r="C121" s="15"/>
      <c r="D121" s="11"/>
      <c r="E121" s="15"/>
      <c r="F121" s="12"/>
      <c r="G121" s="78"/>
    </row>
    <row r="122" spans="1:7" ht="24.75" customHeight="1" hidden="1">
      <c r="A122" s="64"/>
      <c r="B122" s="65"/>
      <c r="C122" s="15"/>
      <c r="D122" s="11"/>
      <c r="E122" s="15"/>
      <c r="F122" s="12"/>
      <c r="G122" s="78"/>
    </row>
    <row r="123" spans="1:7" ht="24.75" customHeight="1" hidden="1">
      <c r="A123" s="64"/>
      <c r="B123" s="65"/>
      <c r="C123" s="15"/>
      <c r="D123" s="11"/>
      <c r="E123" s="15"/>
      <c r="F123" s="12"/>
      <c r="G123" s="78"/>
    </row>
    <row r="124" spans="1:7" ht="24.75" customHeight="1" hidden="1">
      <c r="A124" s="64"/>
      <c r="B124" s="65"/>
      <c r="C124" s="15"/>
      <c r="D124" s="11"/>
      <c r="E124" s="15"/>
      <c r="F124" s="12"/>
      <c r="G124" s="78"/>
    </row>
    <row r="125" spans="1:7" ht="24.75" customHeight="1" hidden="1">
      <c r="A125" s="64"/>
      <c r="B125" s="65"/>
      <c r="C125" s="15"/>
      <c r="D125" s="11"/>
      <c r="E125" s="15"/>
      <c r="F125" s="12"/>
      <c r="G125" s="78"/>
    </row>
    <row r="126" spans="1:7" ht="24.75" customHeight="1" hidden="1">
      <c r="A126" s="64"/>
      <c r="B126" s="65"/>
      <c r="C126" s="15"/>
      <c r="D126" s="11"/>
      <c r="E126" s="15"/>
      <c r="F126" s="12"/>
      <c r="G126" s="78"/>
    </row>
    <row r="127" spans="1:7" ht="24.75" customHeight="1" hidden="1">
      <c r="A127" s="64"/>
      <c r="B127" s="65"/>
      <c r="C127" s="15"/>
      <c r="D127" s="11"/>
      <c r="E127" s="15"/>
      <c r="F127" s="12"/>
      <c r="G127" s="78"/>
    </row>
    <row r="128" spans="1:7" ht="24.75" customHeight="1" hidden="1">
      <c r="A128" s="64"/>
      <c r="B128" s="65"/>
      <c r="C128" s="15"/>
      <c r="D128" s="11"/>
      <c r="E128" s="15"/>
      <c r="F128" s="12"/>
      <c r="G128" s="78"/>
    </row>
    <row r="129" spans="1:7" ht="24.75" customHeight="1" hidden="1">
      <c r="A129" s="64"/>
      <c r="B129" s="65"/>
      <c r="C129" s="15"/>
      <c r="D129" s="11"/>
      <c r="E129" s="15"/>
      <c r="F129" s="12"/>
      <c r="G129" s="78"/>
    </row>
    <row r="130" spans="1:8" ht="24.75" customHeight="1" hidden="1">
      <c r="A130" s="64"/>
      <c r="B130" s="65"/>
      <c r="C130" s="15"/>
      <c r="D130" s="11"/>
      <c r="E130" s="15"/>
      <c r="F130" s="12"/>
      <c r="G130" s="78"/>
      <c r="H130" s="89"/>
    </row>
    <row r="131" spans="1:9" ht="24.75" customHeight="1" hidden="1">
      <c r="A131" s="64"/>
      <c r="B131" s="65"/>
      <c r="C131" s="15"/>
      <c r="D131" s="11"/>
      <c r="E131" s="15"/>
      <c r="F131" s="12"/>
      <c r="G131" s="78"/>
      <c r="H131" s="89"/>
      <c r="I131" s="89"/>
    </row>
    <row r="132" spans="1:9" ht="22.5">
      <c r="A132" s="86" t="s">
        <v>5</v>
      </c>
      <c r="B132" s="87"/>
      <c r="C132" s="17"/>
      <c r="D132" s="17"/>
      <c r="E132" s="17"/>
      <c r="F132" s="18"/>
      <c r="G132" s="88"/>
      <c r="H132" s="89"/>
      <c r="I132" s="89"/>
    </row>
    <row r="133" spans="1:9" ht="12.75">
      <c r="A133" s="87" t="s">
        <v>6</v>
      </c>
      <c r="B133" s="90"/>
      <c r="C133" s="17"/>
      <c r="D133" s="17"/>
      <c r="E133" s="17"/>
      <c r="F133" s="18"/>
      <c r="G133" s="88"/>
      <c r="H133" s="94"/>
      <c r="I133" s="89"/>
    </row>
    <row r="134" spans="1:9" ht="27" customHeight="1">
      <c r="A134" s="91" t="s">
        <v>7</v>
      </c>
      <c r="B134" s="90"/>
      <c r="C134" s="17"/>
      <c r="D134" s="17"/>
      <c r="E134" s="19"/>
      <c r="F134" s="18"/>
      <c r="G134" s="88"/>
      <c r="I134" s="89"/>
    </row>
    <row r="135" spans="1:8" ht="12.75">
      <c r="A135" s="92" t="s">
        <v>8</v>
      </c>
      <c r="B135" s="83"/>
      <c r="C135" s="20"/>
      <c r="D135" s="20"/>
      <c r="E135" s="13">
        <v>340425.95</v>
      </c>
      <c r="F135" s="21"/>
      <c r="G135" s="93"/>
      <c r="H135" s="84"/>
    </row>
    <row r="136" spans="1:7" ht="12.75">
      <c r="A136" s="92" t="s">
        <v>9</v>
      </c>
      <c r="B136" s="83"/>
      <c r="C136" s="20"/>
      <c r="D136" s="20"/>
      <c r="E136" s="13">
        <f>E135+E6-E56</f>
        <v>300144.2500000001</v>
      </c>
      <c r="F136" s="21"/>
      <c r="G136" s="93"/>
    </row>
    <row r="137" spans="1:7" ht="12.75">
      <c r="A137" s="24" t="s">
        <v>10</v>
      </c>
      <c r="B137" s="24" t="s">
        <v>138</v>
      </c>
      <c r="F137" s="23"/>
      <c r="G137" s="23"/>
    </row>
    <row r="138" spans="1:7" ht="12.75">
      <c r="A138" s="24" t="s">
        <v>150</v>
      </c>
      <c r="B138" s="24" t="s">
        <v>13</v>
      </c>
      <c r="F138" s="23"/>
      <c r="G138" s="23"/>
    </row>
    <row r="139" ht="12.75">
      <c r="H139" s="84"/>
    </row>
  </sheetData>
  <sheetProtection/>
  <mergeCells count="3">
    <mergeCell ref="A1:G1"/>
    <mergeCell ref="A2:G2"/>
    <mergeCell ref="A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0" r:id="rId1"/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94"/>
  <sheetViews>
    <sheetView zoomScalePageLayoutView="0" workbookViewId="0" topLeftCell="A1">
      <selection activeCell="G52" sqref="G52"/>
    </sheetView>
  </sheetViews>
  <sheetFormatPr defaultColWidth="9.00390625" defaultRowHeight="12.75"/>
  <cols>
    <col min="1" max="1" width="26.125" style="0" customWidth="1"/>
    <col min="2" max="2" width="8.75390625" style="0" customWidth="1"/>
    <col min="3" max="3" width="29.25390625" style="0" customWidth="1"/>
    <col min="4" max="4" width="14.625" style="40" customWidth="1"/>
    <col min="5" max="5" width="14.375" style="40" customWidth="1"/>
    <col min="6" max="6" width="8.125" style="52" customWidth="1"/>
    <col min="7" max="7" width="21.75390625" style="40" customWidth="1"/>
    <col min="8" max="8" width="18.00390625" style="40" customWidth="1"/>
    <col min="9" max="9" width="29.00390625" style="40" customWidth="1"/>
    <col min="10" max="10" width="10.625" style="40" customWidth="1"/>
    <col min="11" max="13" width="9.125" style="40" customWidth="1"/>
  </cols>
  <sheetData>
    <row r="1" spans="1:14" ht="15">
      <c r="A1" s="101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27"/>
      <c r="L1" s="27"/>
      <c r="M1" s="27"/>
      <c r="N1" s="28"/>
    </row>
    <row r="2" spans="1:14" ht="15">
      <c r="A2" s="101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27"/>
      <c r="L2" s="27"/>
      <c r="M2" s="27"/>
      <c r="N2" s="28"/>
    </row>
    <row r="3" spans="1:14" ht="15">
      <c r="A3" s="101" t="s">
        <v>247</v>
      </c>
      <c r="B3" s="102"/>
      <c r="C3" s="102"/>
      <c r="D3" s="102"/>
      <c r="E3" s="102"/>
      <c r="F3" s="102"/>
      <c r="G3" s="102"/>
      <c r="H3" s="102"/>
      <c r="I3" s="102"/>
      <c r="J3" s="102"/>
      <c r="K3" s="27"/>
      <c r="L3" s="27"/>
      <c r="M3" s="27"/>
      <c r="N3" s="28"/>
    </row>
    <row r="4" spans="1:14" ht="12.75">
      <c r="A4" s="103" t="s">
        <v>139</v>
      </c>
      <c r="B4" s="104"/>
      <c r="C4" s="104"/>
      <c r="D4" s="104"/>
      <c r="E4" s="104"/>
      <c r="F4" s="104"/>
      <c r="G4" s="104"/>
      <c r="H4" s="104"/>
      <c r="I4" s="104"/>
      <c r="J4" s="104"/>
      <c r="K4" s="27"/>
      <c r="L4" s="27"/>
      <c r="M4" s="27"/>
      <c r="N4" s="28"/>
    </row>
    <row r="5" spans="1:14" ht="90">
      <c r="A5" s="29" t="s">
        <v>32</v>
      </c>
      <c r="B5" s="29" t="s">
        <v>33</v>
      </c>
      <c r="C5" s="29" t="s">
        <v>152</v>
      </c>
      <c r="D5" s="30" t="s">
        <v>153</v>
      </c>
      <c r="E5" s="30" t="s">
        <v>34</v>
      </c>
      <c r="F5" s="72" t="s">
        <v>35</v>
      </c>
      <c r="G5" s="30" t="s">
        <v>36</v>
      </c>
      <c r="H5" s="30" t="s">
        <v>154</v>
      </c>
      <c r="I5" s="30" t="s">
        <v>37</v>
      </c>
      <c r="J5" s="30" t="s">
        <v>38</v>
      </c>
      <c r="K5" s="27"/>
      <c r="L5" s="27"/>
      <c r="M5" s="27"/>
      <c r="N5" s="28"/>
    </row>
    <row r="6" spans="1:14" ht="15">
      <c r="A6" s="31" t="s">
        <v>39</v>
      </c>
      <c r="B6" s="32" t="s">
        <v>40</v>
      </c>
      <c r="C6" s="33" t="s">
        <v>40</v>
      </c>
      <c r="D6" s="34" t="s">
        <v>20</v>
      </c>
      <c r="E6" s="34" t="s">
        <v>20</v>
      </c>
      <c r="F6" s="34" t="s">
        <v>20</v>
      </c>
      <c r="G6" s="34" t="s">
        <v>20</v>
      </c>
      <c r="H6" s="34" t="s">
        <v>20</v>
      </c>
      <c r="I6" s="34" t="s">
        <v>20</v>
      </c>
      <c r="J6" s="34" t="s">
        <v>20</v>
      </c>
      <c r="K6" s="27"/>
      <c r="L6" s="27"/>
      <c r="M6" s="27"/>
      <c r="N6" s="28"/>
    </row>
    <row r="7" spans="1:14" ht="25.5">
      <c r="A7" s="35" t="s">
        <v>155</v>
      </c>
      <c r="B7" s="32" t="s">
        <v>40</v>
      </c>
      <c r="C7" s="33" t="s">
        <v>40</v>
      </c>
      <c r="D7" s="34" t="s">
        <v>20</v>
      </c>
      <c r="E7" s="36"/>
      <c r="F7" s="34"/>
      <c r="G7" s="34" t="s">
        <v>20</v>
      </c>
      <c r="H7" s="34" t="s">
        <v>20</v>
      </c>
      <c r="I7" s="34" t="s">
        <v>20</v>
      </c>
      <c r="J7" s="34" t="s">
        <v>20</v>
      </c>
      <c r="K7" s="27"/>
      <c r="L7" s="27"/>
      <c r="M7" s="27"/>
      <c r="N7" s="28"/>
    </row>
    <row r="8" spans="1:14" ht="15">
      <c r="A8" s="31" t="s">
        <v>3</v>
      </c>
      <c r="B8" s="32" t="s">
        <v>40</v>
      </c>
      <c r="C8" s="33" t="s">
        <v>40</v>
      </c>
      <c r="D8" s="38">
        <f>отчет!C56</f>
        <v>3421603</v>
      </c>
      <c r="E8" s="39">
        <f>D8-F8</f>
        <v>3338303</v>
      </c>
      <c r="F8" s="47">
        <f>SUMIF(отчет!$B57:$B139,"\0203*",отчет!D57:D139)</f>
        <v>83300</v>
      </c>
      <c r="G8" s="38">
        <f>отчет!E56</f>
        <v>705325.2799999999</v>
      </c>
      <c r="H8" s="38">
        <f>G8-I8</f>
        <v>690504.9999999999</v>
      </c>
      <c r="I8" s="37">
        <f>SUMIF(отчет!$B57:$B139,"\0203*",отчет!E57:E139)</f>
        <v>14820.28</v>
      </c>
      <c r="J8" s="34" t="s">
        <v>20</v>
      </c>
      <c r="K8" s="40" t="s">
        <v>248</v>
      </c>
      <c r="L8" s="27"/>
      <c r="M8" s="27"/>
      <c r="N8" s="28"/>
    </row>
    <row r="9" spans="1:14" ht="30">
      <c r="A9" s="31" t="s">
        <v>140</v>
      </c>
      <c r="B9" s="31" t="s">
        <v>141</v>
      </c>
      <c r="C9" s="41" t="s">
        <v>156</v>
      </c>
      <c r="D9" s="54">
        <f>SUMIF(отчет!$B57:$B139,"\0409*",отчет!C57:C139)</f>
        <v>205000</v>
      </c>
      <c r="E9" s="54">
        <f>SUMIF(отчет!$B57:$B139,"\0409*",отчет!D57:D139)</f>
        <v>205000</v>
      </c>
      <c r="F9" s="55"/>
      <c r="G9" s="54">
        <f>SUMIF(отчет!$B57:$B139,"\0409*",отчет!E57:E139)</f>
        <v>17500</v>
      </c>
      <c r="H9" s="54">
        <f>SUMIF(отчет!$B57:$B139,"\0409*",отчет!E57:E139)</f>
        <v>17500</v>
      </c>
      <c r="I9" s="54" t="s">
        <v>20</v>
      </c>
      <c r="J9" s="34" t="s">
        <v>20</v>
      </c>
      <c r="K9" s="40" t="s">
        <v>249</v>
      </c>
      <c r="L9" s="27"/>
      <c r="M9" s="27"/>
      <c r="N9" s="28"/>
    </row>
    <row r="10" spans="1:14" ht="51">
      <c r="A10" s="35" t="s">
        <v>202</v>
      </c>
      <c r="B10" s="35" t="s">
        <v>203</v>
      </c>
      <c r="C10" s="43" t="s">
        <v>204</v>
      </c>
      <c r="D10" s="47" t="s">
        <v>20</v>
      </c>
      <c r="E10" s="47" t="s">
        <v>20</v>
      </c>
      <c r="F10" s="56" t="s">
        <v>20</v>
      </c>
      <c r="G10" s="47" t="s">
        <v>20</v>
      </c>
      <c r="H10" s="47" t="s">
        <v>20</v>
      </c>
      <c r="I10" s="47" t="s">
        <v>20</v>
      </c>
      <c r="J10" s="34" t="s">
        <v>20</v>
      </c>
      <c r="K10" s="27"/>
      <c r="L10" s="27"/>
      <c r="M10" s="27"/>
      <c r="N10" s="28"/>
    </row>
    <row r="11" spans="1:14" ht="63.75">
      <c r="A11" s="35" t="s">
        <v>157</v>
      </c>
      <c r="B11" s="35" t="s">
        <v>142</v>
      </c>
      <c r="C11" s="43" t="s">
        <v>158</v>
      </c>
      <c r="D11" s="47" t="s">
        <v>20</v>
      </c>
      <c r="E11" s="47" t="s">
        <v>20</v>
      </c>
      <c r="F11" s="56" t="s">
        <v>20</v>
      </c>
      <c r="G11" s="47" t="s">
        <v>20</v>
      </c>
      <c r="H11" s="47" t="s">
        <v>20</v>
      </c>
      <c r="I11" s="47" t="s">
        <v>20</v>
      </c>
      <c r="J11" s="34" t="s">
        <v>20</v>
      </c>
      <c r="K11" s="27"/>
      <c r="L11" s="27"/>
      <c r="M11" s="27"/>
      <c r="N11" s="28"/>
    </row>
    <row r="12" spans="1:14" ht="25.5">
      <c r="A12" s="35" t="s">
        <v>205</v>
      </c>
      <c r="B12" s="35" t="s">
        <v>206</v>
      </c>
      <c r="C12" s="43" t="s">
        <v>207</v>
      </c>
      <c r="D12" s="47" t="s">
        <v>20</v>
      </c>
      <c r="E12" s="47" t="s">
        <v>20</v>
      </c>
      <c r="F12" s="56" t="s">
        <v>20</v>
      </c>
      <c r="G12" s="47" t="s">
        <v>20</v>
      </c>
      <c r="H12" s="47" t="s">
        <v>20</v>
      </c>
      <c r="I12" s="47" t="s">
        <v>20</v>
      </c>
      <c r="J12" s="34" t="s">
        <v>20</v>
      </c>
      <c r="K12" s="27"/>
      <c r="L12" s="27"/>
      <c r="M12" s="27"/>
      <c r="N12" s="28"/>
    </row>
    <row r="13" spans="1:14" ht="63.75">
      <c r="A13" s="35" t="s">
        <v>159</v>
      </c>
      <c r="B13" s="35" t="s">
        <v>143</v>
      </c>
      <c r="C13" s="43" t="s">
        <v>160</v>
      </c>
      <c r="D13" s="47" t="s">
        <v>20</v>
      </c>
      <c r="E13" s="47" t="s">
        <v>20</v>
      </c>
      <c r="F13" s="56" t="s">
        <v>20</v>
      </c>
      <c r="G13" s="47" t="s">
        <v>20</v>
      </c>
      <c r="H13" s="47" t="s">
        <v>20</v>
      </c>
      <c r="I13" s="47" t="s">
        <v>20</v>
      </c>
      <c r="J13" s="34" t="s">
        <v>20</v>
      </c>
      <c r="K13" s="27"/>
      <c r="L13" s="27"/>
      <c r="M13" s="27"/>
      <c r="N13" s="28"/>
    </row>
    <row r="14" spans="1:14" ht="25.5">
      <c r="A14" s="35" t="s">
        <v>208</v>
      </c>
      <c r="B14" s="35" t="s">
        <v>209</v>
      </c>
      <c r="C14" s="43" t="s">
        <v>210</v>
      </c>
      <c r="D14" s="47" t="s">
        <v>20</v>
      </c>
      <c r="E14" s="47" t="s">
        <v>20</v>
      </c>
      <c r="F14" s="56" t="s">
        <v>20</v>
      </c>
      <c r="G14" s="47" t="s">
        <v>20</v>
      </c>
      <c r="H14" s="47" t="s">
        <v>20</v>
      </c>
      <c r="I14" s="47" t="s">
        <v>20</v>
      </c>
      <c r="J14" s="34" t="s">
        <v>20</v>
      </c>
      <c r="K14" s="27"/>
      <c r="L14" s="27"/>
      <c r="M14" s="27"/>
      <c r="N14" s="28"/>
    </row>
    <row r="15" spans="1:14" ht="63.75">
      <c r="A15" s="35" t="s">
        <v>161</v>
      </c>
      <c r="B15" s="35" t="s">
        <v>144</v>
      </c>
      <c r="C15" s="43" t="s">
        <v>162</v>
      </c>
      <c r="D15" s="47" t="s">
        <v>20</v>
      </c>
      <c r="E15" s="47" t="s">
        <v>20</v>
      </c>
      <c r="F15" s="56" t="s">
        <v>20</v>
      </c>
      <c r="G15" s="47" t="s">
        <v>20</v>
      </c>
      <c r="H15" s="47" t="s">
        <v>20</v>
      </c>
      <c r="I15" s="47" t="s">
        <v>20</v>
      </c>
      <c r="J15" s="34" t="s">
        <v>20</v>
      </c>
      <c r="K15" s="27"/>
      <c r="L15" s="27"/>
      <c r="M15" s="27"/>
      <c r="N15" s="28"/>
    </row>
    <row r="16" spans="1:14" ht="25.5">
      <c r="A16" s="35" t="s">
        <v>205</v>
      </c>
      <c r="B16" s="35" t="s">
        <v>211</v>
      </c>
      <c r="C16" s="43" t="s">
        <v>212</v>
      </c>
      <c r="D16" s="47" t="s">
        <v>20</v>
      </c>
      <c r="E16" s="47" t="s">
        <v>20</v>
      </c>
      <c r="F16" s="56" t="s">
        <v>20</v>
      </c>
      <c r="G16" s="47" t="s">
        <v>20</v>
      </c>
      <c r="H16" s="47" t="s">
        <v>20</v>
      </c>
      <c r="I16" s="47" t="s">
        <v>20</v>
      </c>
      <c r="J16" s="34" t="s">
        <v>20</v>
      </c>
      <c r="K16" s="27"/>
      <c r="L16" s="27"/>
      <c r="M16" s="27"/>
      <c r="N16" s="28"/>
    </row>
    <row r="17" spans="1:14" ht="63.75">
      <c r="A17" s="35" t="s">
        <v>163</v>
      </c>
      <c r="B17" s="35" t="s">
        <v>145</v>
      </c>
      <c r="C17" s="43" t="s">
        <v>164</v>
      </c>
      <c r="D17" s="47" t="s">
        <v>20</v>
      </c>
      <c r="E17" s="47" t="s">
        <v>20</v>
      </c>
      <c r="F17" s="56" t="s">
        <v>20</v>
      </c>
      <c r="G17" s="47" t="s">
        <v>20</v>
      </c>
      <c r="H17" s="47" t="s">
        <v>20</v>
      </c>
      <c r="I17" s="47" t="s">
        <v>20</v>
      </c>
      <c r="J17" s="34" t="s">
        <v>20</v>
      </c>
      <c r="K17" s="27"/>
      <c r="L17" s="27"/>
      <c r="M17" s="27"/>
      <c r="N17" s="28"/>
    </row>
    <row r="18" spans="1:14" ht="25.5">
      <c r="A18" s="35" t="s">
        <v>208</v>
      </c>
      <c r="B18" s="35" t="s">
        <v>213</v>
      </c>
      <c r="C18" s="43" t="s">
        <v>214</v>
      </c>
      <c r="D18" s="47" t="s">
        <v>20</v>
      </c>
      <c r="E18" s="47" t="s">
        <v>20</v>
      </c>
      <c r="F18" s="56" t="s">
        <v>20</v>
      </c>
      <c r="G18" s="47" t="s">
        <v>20</v>
      </c>
      <c r="H18" s="47" t="s">
        <v>20</v>
      </c>
      <c r="I18" s="47" t="s">
        <v>20</v>
      </c>
      <c r="J18" s="34" t="s">
        <v>20</v>
      </c>
      <c r="K18" s="27"/>
      <c r="L18" s="27"/>
      <c r="M18" s="27"/>
      <c r="N18" s="28"/>
    </row>
    <row r="19" spans="1:14" ht="63.75">
      <c r="A19" s="35" t="s">
        <v>165</v>
      </c>
      <c r="B19" s="35" t="s">
        <v>146</v>
      </c>
      <c r="C19" s="43" t="s">
        <v>166</v>
      </c>
      <c r="D19" s="54">
        <f>D9</f>
        <v>205000</v>
      </c>
      <c r="E19" s="54">
        <f>E9</f>
        <v>205000</v>
      </c>
      <c r="F19" s="55" t="s">
        <v>20</v>
      </c>
      <c r="G19" s="54">
        <f>G9</f>
        <v>17500</v>
      </c>
      <c r="H19" s="54">
        <f>H9</f>
        <v>17500</v>
      </c>
      <c r="I19" s="47" t="s">
        <v>20</v>
      </c>
      <c r="J19" s="34" t="s">
        <v>20</v>
      </c>
      <c r="K19" s="40" t="s">
        <v>249</v>
      </c>
      <c r="L19" s="27"/>
      <c r="M19" s="27"/>
      <c r="N19" s="28"/>
    </row>
    <row r="20" spans="1:14" ht="25.5">
      <c r="A20" s="35" t="s">
        <v>208</v>
      </c>
      <c r="B20" s="35" t="s">
        <v>215</v>
      </c>
      <c r="C20" s="43" t="s">
        <v>216</v>
      </c>
      <c r="D20" s="34" t="s">
        <v>20</v>
      </c>
      <c r="E20" s="34" t="s">
        <v>20</v>
      </c>
      <c r="F20" s="49" t="s">
        <v>20</v>
      </c>
      <c r="G20" s="34" t="s">
        <v>20</v>
      </c>
      <c r="H20" s="34" t="s">
        <v>20</v>
      </c>
      <c r="I20" s="34" t="s">
        <v>20</v>
      </c>
      <c r="J20" s="34" t="s">
        <v>20</v>
      </c>
      <c r="K20" s="27"/>
      <c r="L20" s="27"/>
      <c r="M20" s="27"/>
      <c r="N20" s="28"/>
    </row>
    <row r="21" spans="1:14" ht="102">
      <c r="A21" s="35" t="s">
        <v>167</v>
      </c>
      <c r="B21" s="35" t="s">
        <v>147</v>
      </c>
      <c r="C21" s="43" t="s">
        <v>168</v>
      </c>
      <c r="D21" s="34" t="s">
        <v>20</v>
      </c>
      <c r="E21" s="34" t="s">
        <v>20</v>
      </c>
      <c r="F21" s="49" t="s">
        <v>20</v>
      </c>
      <c r="G21" s="34" t="s">
        <v>20</v>
      </c>
      <c r="H21" s="34" t="s">
        <v>20</v>
      </c>
      <c r="I21" s="34" t="s">
        <v>20</v>
      </c>
      <c r="J21" s="34" t="s">
        <v>20</v>
      </c>
      <c r="K21" s="27"/>
      <c r="L21" s="27"/>
      <c r="M21" s="27"/>
      <c r="N21" s="28"/>
    </row>
    <row r="22" spans="1:14" ht="25.5">
      <c r="A22" s="35" t="s">
        <v>208</v>
      </c>
      <c r="B22" s="35" t="s">
        <v>217</v>
      </c>
      <c r="C22" s="33" t="s">
        <v>300</v>
      </c>
      <c r="D22" s="34"/>
      <c r="E22" s="34" t="s">
        <v>20</v>
      </c>
      <c r="F22" s="49" t="s">
        <v>20</v>
      </c>
      <c r="G22" s="34" t="s">
        <v>20</v>
      </c>
      <c r="H22" s="34" t="s">
        <v>20</v>
      </c>
      <c r="I22" s="34" t="s">
        <v>20</v>
      </c>
      <c r="J22" s="34" t="s">
        <v>20</v>
      </c>
      <c r="K22" s="27"/>
      <c r="L22" s="27"/>
      <c r="M22" s="27"/>
      <c r="N22" s="28"/>
    </row>
    <row r="23" spans="1:14" ht="140.25">
      <c r="A23" s="35" t="s">
        <v>218</v>
      </c>
      <c r="B23" s="35" t="s">
        <v>219</v>
      </c>
      <c r="C23" s="43" t="s">
        <v>220</v>
      </c>
      <c r="D23" s="34" t="s">
        <v>20</v>
      </c>
      <c r="E23" s="34" t="s">
        <v>20</v>
      </c>
      <c r="F23" s="49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27"/>
      <c r="L23" s="27"/>
      <c r="M23" s="27"/>
      <c r="N23" s="28"/>
    </row>
    <row r="24" spans="1:14" ht="25.5">
      <c r="A24" s="35" t="s">
        <v>205</v>
      </c>
      <c r="B24" s="35" t="s">
        <v>221</v>
      </c>
      <c r="C24" s="43" t="s">
        <v>222</v>
      </c>
      <c r="D24" s="34" t="s">
        <v>20</v>
      </c>
      <c r="E24" s="34" t="s">
        <v>20</v>
      </c>
      <c r="F24" s="49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27"/>
      <c r="L24" s="27"/>
      <c r="M24" s="27"/>
      <c r="N24" s="28"/>
    </row>
    <row r="25" spans="1:14" ht="165">
      <c r="A25" s="31" t="s">
        <v>250</v>
      </c>
      <c r="B25" s="31" t="s">
        <v>251</v>
      </c>
      <c r="C25" s="5" t="s">
        <v>40</v>
      </c>
      <c r="D25" s="42" t="s">
        <v>20</v>
      </c>
      <c r="E25" s="42" t="s">
        <v>20</v>
      </c>
      <c r="F25" s="50" t="s">
        <v>20</v>
      </c>
      <c r="G25" s="42" t="s">
        <v>20</v>
      </c>
      <c r="H25" s="42" t="s">
        <v>20</v>
      </c>
      <c r="I25" s="42" t="s">
        <v>20</v>
      </c>
      <c r="J25" s="42" t="s">
        <v>20</v>
      </c>
      <c r="K25" s="44"/>
      <c r="L25" s="44"/>
      <c r="M25" s="44"/>
      <c r="N25" s="45"/>
    </row>
    <row r="26" spans="1:14" ht="12.75">
      <c r="A26" s="35" t="s">
        <v>76</v>
      </c>
      <c r="B26" s="32" t="s">
        <v>40</v>
      </c>
      <c r="C26" s="33" t="s">
        <v>301</v>
      </c>
      <c r="D26" s="34" t="str">
        <f>E26</f>
        <v> </v>
      </c>
      <c r="E26" s="34" t="s">
        <v>20</v>
      </c>
      <c r="F26" s="51"/>
      <c r="G26" s="34" t="s">
        <v>20</v>
      </c>
      <c r="H26" s="34" t="s">
        <v>20</v>
      </c>
      <c r="I26" s="34" t="s">
        <v>20</v>
      </c>
      <c r="J26" s="34" t="s">
        <v>20</v>
      </c>
      <c r="K26" s="27"/>
      <c r="L26" s="27"/>
      <c r="M26" s="27"/>
      <c r="N26" s="28"/>
    </row>
    <row r="27" spans="1:14" ht="140.25">
      <c r="A27" s="35" t="s">
        <v>252</v>
      </c>
      <c r="B27" s="35" t="s">
        <v>253</v>
      </c>
      <c r="C27" s="43" t="s">
        <v>254</v>
      </c>
      <c r="D27" s="34" t="s">
        <v>20</v>
      </c>
      <c r="E27" s="34" t="s">
        <v>20</v>
      </c>
      <c r="F27" s="49" t="s">
        <v>20</v>
      </c>
      <c r="G27" s="34" t="s">
        <v>20</v>
      </c>
      <c r="H27" s="34" t="s">
        <v>20</v>
      </c>
      <c r="I27" s="34" t="s">
        <v>20</v>
      </c>
      <c r="J27" s="34" t="s">
        <v>20</v>
      </c>
      <c r="K27" s="27"/>
      <c r="L27" s="27"/>
      <c r="M27" s="27"/>
      <c r="N27" s="28"/>
    </row>
    <row r="28" spans="1:14" ht="153">
      <c r="A28" s="35" t="s">
        <v>255</v>
      </c>
      <c r="B28" s="35" t="s">
        <v>256</v>
      </c>
      <c r="C28" s="43" t="s">
        <v>257</v>
      </c>
      <c r="D28" s="34" t="s">
        <v>20</v>
      </c>
      <c r="E28" s="34" t="s">
        <v>20</v>
      </c>
      <c r="F28" s="49" t="s">
        <v>20</v>
      </c>
      <c r="G28" s="34" t="s">
        <v>20</v>
      </c>
      <c r="H28" s="34" t="s">
        <v>20</v>
      </c>
      <c r="I28" s="34" t="s">
        <v>20</v>
      </c>
      <c r="J28" s="34" t="s">
        <v>20</v>
      </c>
      <c r="K28" s="27"/>
      <c r="L28" s="27"/>
      <c r="M28" s="27"/>
      <c r="N28" s="28"/>
    </row>
    <row r="29" spans="1:14" ht="153">
      <c r="A29" s="35" t="s">
        <v>258</v>
      </c>
      <c r="B29" s="35" t="s">
        <v>259</v>
      </c>
      <c r="C29" s="43" t="s">
        <v>260</v>
      </c>
      <c r="D29" s="34" t="s">
        <v>20</v>
      </c>
      <c r="E29" s="34" t="s">
        <v>20</v>
      </c>
      <c r="F29" s="49" t="s">
        <v>20</v>
      </c>
      <c r="G29" s="34" t="s">
        <v>20</v>
      </c>
      <c r="H29" s="34" t="s">
        <v>20</v>
      </c>
      <c r="I29" s="34" t="s">
        <v>20</v>
      </c>
      <c r="J29" s="34" t="s">
        <v>20</v>
      </c>
      <c r="K29" s="27"/>
      <c r="L29" s="27"/>
      <c r="M29" s="27"/>
      <c r="N29" s="28"/>
    </row>
    <row r="30" spans="1:14" ht="127.5">
      <c r="A30" s="35" t="s">
        <v>261</v>
      </c>
      <c r="B30" s="35" t="s">
        <v>262</v>
      </c>
      <c r="C30" s="43" t="s">
        <v>263</v>
      </c>
      <c r="D30" s="34" t="s">
        <v>20</v>
      </c>
      <c r="E30" s="34" t="s">
        <v>20</v>
      </c>
      <c r="F30" s="49" t="s">
        <v>20</v>
      </c>
      <c r="G30" s="34" t="s">
        <v>20</v>
      </c>
      <c r="H30" s="34" t="s">
        <v>20</v>
      </c>
      <c r="I30" s="34" t="s">
        <v>20</v>
      </c>
      <c r="J30" s="34" t="s">
        <v>20</v>
      </c>
      <c r="K30" s="27"/>
      <c r="L30" s="27"/>
      <c r="M30" s="27"/>
      <c r="N30" s="28"/>
    </row>
    <row r="31" spans="1:14" ht="120">
      <c r="A31" s="31" t="s">
        <v>199</v>
      </c>
      <c r="B31" s="31" t="s">
        <v>200</v>
      </c>
      <c r="C31" s="41" t="s">
        <v>201</v>
      </c>
      <c r="D31" s="42" t="s">
        <v>20</v>
      </c>
      <c r="E31" s="42" t="s">
        <v>20</v>
      </c>
      <c r="F31" s="50" t="s">
        <v>20</v>
      </c>
      <c r="G31" s="42" t="s">
        <v>20</v>
      </c>
      <c r="H31" s="42" t="s">
        <v>20</v>
      </c>
      <c r="I31" s="42" t="s">
        <v>20</v>
      </c>
      <c r="J31" s="42" t="s">
        <v>20</v>
      </c>
      <c r="K31" s="44"/>
      <c r="L31" s="44"/>
      <c r="M31" s="44"/>
      <c r="N31" s="45"/>
    </row>
    <row r="32" spans="1:14" ht="75">
      <c r="A32" s="31" t="s">
        <v>169</v>
      </c>
      <c r="B32" s="31" t="s">
        <v>170</v>
      </c>
      <c r="C32" s="41" t="s">
        <v>171</v>
      </c>
      <c r="D32" s="42" t="s">
        <v>20</v>
      </c>
      <c r="E32" s="42" t="s">
        <v>20</v>
      </c>
      <c r="F32" s="50" t="s">
        <v>20</v>
      </c>
      <c r="G32" s="42" t="s">
        <v>20</v>
      </c>
      <c r="H32" s="42" t="s">
        <v>20</v>
      </c>
      <c r="I32" s="42" t="s">
        <v>20</v>
      </c>
      <c r="J32" s="42" t="s">
        <v>20</v>
      </c>
      <c r="K32" s="44"/>
      <c r="L32" s="44"/>
      <c r="M32" s="44"/>
      <c r="N32" s="45"/>
    </row>
    <row r="33" spans="1:14" ht="60">
      <c r="A33" s="31" t="s">
        <v>172</v>
      </c>
      <c r="B33" s="31" t="s">
        <v>173</v>
      </c>
      <c r="C33" s="5" t="s">
        <v>40</v>
      </c>
      <c r="D33" s="57">
        <f>SUMIF(отчет!$B57:$B139,"*\312*",отчет!C57:C139)</f>
        <v>20000</v>
      </c>
      <c r="E33" s="54">
        <f>D33-F33</f>
        <v>20000</v>
      </c>
      <c r="F33" s="55">
        <f>SUMIF(отчет!$B57:$B139,"\0203*\312.*",отчет!C57:C139)</f>
        <v>0</v>
      </c>
      <c r="G33" s="57">
        <f>SUMIF(отчет!$B57:$B139,"*\312*",отчет!E57:E139)</f>
        <v>0</v>
      </c>
      <c r="H33" s="54">
        <f>G33-I33</f>
        <v>0</v>
      </c>
      <c r="I33" s="54">
        <f>SUMIF(отчет!$B57:$B139,"\0203*\312*",отчет!E57:E139)</f>
        <v>0</v>
      </c>
      <c r="J33" s="42" t="s">
        <v>20</v>
      </c>
      <c r="K33" s="44" t="s">
        <v>264</v>
      </c>
      <c r="L33" s="44"/>
      <c r="M33" s="44"/>
      <c r="N33" s="45"/>
    </row>
    <row r="34" spans="1:14" ht="76.5">
      <c r="A34" s="35" t="s">
        <v>174</v>
      </c>
      <c r="B34" s="35" t="s">
        <v>175</v>
      </c>
      <c r="C34" s="43" t="s">
        <v>176</v>
      </c>
      <c r="D34" s="58">
        <f>SUMIF(отчет!$B57:$B139,"\0104*\312*",отчет!C57:C139)</f>
        <v>0</v>
      </c>
      <c r="E34" s="54">
        <f>D34-F34</f>
        <v>0</v>
      </c>
      <c r="F34" s="55"/>
      <c r="G34" s="58">
        <f>SUMIF(отчет!$B57:$B139,"\0104*\312*",отчет!E57:E139)</f>
        <v>0</v>
      </c>
      <c r="H34" s="54">
        <f>G34-I34</f>
        <v>0</v>
      </c>
      <c r="I34" s="54"/>
      <c r="J34" s="34" t="s">
        <v>20</v>
      </c>
      <c r="K34" s="40" t="s">
        <v>265</v>
      </c>
      <c r="L34" s="27">
        <f>SUMIF(отчет!$B57:$B139,"\0104*\310.*",отчет!C57:C139)</f>
        <v>0</v>
      </c>
      <c r="M34" s="27"/>
      <c r="N34" s="28"/>
    </row>
    <row r="35" spans="1:14" ht="76.5">
      <c r="A35" s="35" t="s">
        <v>177</v>
      </c>
      <c r="B35" s="35" t="s">
        <v>178</v>
      </c>
      <c r="C35" s="43" t="s">
        <v>179</v>
      </c>
      <c r="D35" s="58">
        <f>D33-D34</f>
        <v>20000</v>
      </c>
      <c r="E35" s="54">
        <f>D35-F35</f>
        <v>20000</v>
      </c>
      <c r="F35" s="59">
        <f>F33-F34</f>
        <v>0</v>
      </c>
      <c r="G35" s="58">
        <f>G33-G34</f>
        <v>0</v>
      </c>
      <c r="H35" s="58">
        <f>H33-H34</f>
        <v>0</v>
      </c>
      <c r="I35" s="58">
        <f>I33-I34</f>
        <v>0</v>
      </c>
      <c r="J35" s="34" t="s">
        <v>20</v>
      </c>
      <c r="K35" s="40" t="s">
        <v>266</v>
      </c>
      <c r="L35" s="27"/>
      <c r="M35" s="27"/>
      <c r="N35" s="28"/>
    </row>
    <row r="36" spans="1:14" ht="30">
      <c r="A36" s="31" t="s">
        <v>180</v>
      </c>
      <c r="B36" s="31" t="s">
        <v>181</v>
      </c>
      <c r="C36" s="5" t="s">
        <v>40</v>
      </c>
      <c r="D36" s="42" t="s">
        <v>20</v>
      </c>
      <c r="E36" s="42" t="s">
        <v>20</v>
      </c>
      <c r="F36" s="50" t="s">
        <v>20</v>
      </c>
      <c r="G36" s="42" t="s">
        <v>20</v>
      </c>
      <c r="H36" s="42" t="s">
        <v>20</v>
      </c>
      <c r="I36" s="42" t="s">
        <v>20</v>
      </c>
      <c r="J36" s="42" t="s">
        <v>20</v>
      </c>
      <c r="K36" s="44"/>
      <c r="L36" s="44"/>
      <c r="M36" s="44"/>
      <c r="N36" s="45"/>
    </row>
    <row r="37" spans="1:14" ht="63.75">
      <c r="A37" s="35" t="s">
        <v>182</v>
      </c>
      <c r="B37" s="35" t="s">
        <v>183</v>
      </c>
      <c r="C37" s="43" t="s">
        <v>184</v>
      </c>
      <c r="D37" s="34" t="s">
        <v>20</v>
      </c>
      <c r="E37" s="34" t="s">
        <v>20</v>
      </c>
      <c r="F37" s="49" t="s">
        <v>20</v>
      </c>
      <c r="G37" s="34" t="s">
        <v>20</v>
      </c>
      <c r="H37" s="34" t="s">
        <v>20</v>
      </c>
      <c r="I37" s="34" t="s">
        <v>20</v>
      </c>
      <c r="J37" s="34" t="s">
        <v>20</v>
      </c>
      <c r="K37" s="27"/>
      <c r="L37" s="27"/>
      <c r="M37" s="27"/>
      <c r="N37" s="28"/>
    </row>
    <row r="38" spans="1:14" ht="63.75">
      <c r="A38" s="35" t="s">
        <v>185</v>
      </c>
      <c r="B38" s="35" t="s">
        <v>186</v>
      </c>
      <c r="C38" s="43" t="s">
        <v>187</v>
      </c>
      <c r="D38" s="34" t="s">
        <v>20</v>
      </c>
      <c r="E38" s="34" t="s">
        <v>20</v>
      </c>
      <c r="F38" s="49" t="s">
        <v>20</v>
      </c>
      <c r="G38" s="34" t="s">
        <v>20</v>
      </c>
      <c r="H38" s="34" t="s">
        <v>20</v>
      </c>
      <c r="I38" s="34" t="s">
        <v>20</v>
      </c>
      <c r="J38" s="34" t="s">
        <v>20</v>
      </c>
      <c r="K38" s="27"/>
      <c r="L38" s="27"/>
      <c r="M38" s="27"/>
      <c r="N38" s="28"/>
    </row>
    <row r="39" spans="1:14" ht="60">
      <c r="A39" s="31" t="s">
        <v>41</v>
      </c>
      <c r="B39" s="31" t="s">
        <v>42</v>
      </c>
      <c r="C39" s="5" t="s">
        <v>40</v>
      </c>
      <c r="D39" s="47">
        <f>D40</f>
        <v>1627300</v>
      </c>
      <c r="E39" s="47">
        <f aca="true" t="shared" si="0" ref="E39:J39">E40</f>
        <v>1544000</v>
      </c>
      <c r="F39" s="56">
        <f t="shared" si="0"/>
        <v>83300</v>
      </c>
      <c r="G39" s="47">
        <f t="shared" si="0"/>
        <v>337885.77</v>
      </c>
      <c r="H39" s="47">
        <f t="shared" si="0"/>
        <v>323065.49</v>
      </c>
      <c r="I39" s="47">
        <f t="shared" si="0"/>
        <v>14820.28</v>
      </c>
      <c r="J39" s="46" t="str">
        <f t="shared" si="0"/>
        <v> </v>
      </c>
      <c r="K39" s="44" t="s">
        <v>267</v>
      </c>
      <c r="L39" s="44"/>
      <c r="M39" s="44"/>
      <c r="N39" s="45"/>
    </row>
    <row r="40" spans="1:14" ht="38.25">
      <c r="A40" s="35" t="s">
        <v>188</v>
      </c>
      <c r="B40" s="35" t="s">
        <v>43</v>
      </c>
      <c r="C40" s="43" t="s">
        <v>44</v>
      </c>
      <c r="D40" s="47">
        <f>SUMIF(отчет!$B57:$B139,"*\211\*",отчет!C57:C139)+SUMIF(отчет!$B57:$B139,"*\213\*",отчет!C57:C139)+SUMIF(отчет!$B57:$B139,"*\266\*",отчет!C57:C139)</f>
        <v>1627300</v>
      </c>
      <c r="E40" s="47">
        <f>D40-F40</f>
        <v>1544000</v>
      </c>
      <c r="F40" s="56">
        <f>SUMIF(отчет!$B57:$B139,"\0203*\211\*",отчет!D57:D139)+SUMIF(отчет!$B57:$B139,"\0203*\213\*",отчет!D57:D139)+SUMIF(отчет!$B57:$B139,"\0203*\266\*",отчет!D57:D139)</f>
        <v>83300</v>
      </c>
      <c r="G40" s="47">
        <f>SUMIF(отчет!$B57:$B139,"*\211\*",отчет!E57:E139)+SUMIF(отчет!$B57:$B139,"*\213\*",отчет!E57:E139)+SUMIF(отчет!$B57:$B139,"*\266\*",отчет!E57:E139)</f>
        <v>337885.77</v>
      </c>
      <c r="H40" s="47">
        <f>G40-I40</f>
        <v>323065.49</v>
      </c>
      <c r="I40" s="47">
        <f>SUMIF(отчет!$B57:$B139,"\0203*\211\*",отчет!E57:E139)+SUMIF(отчет!$B57:$B139,"\0203*\213\*",отчет!E57:E139)+SUMIF(отчет!$B57:$B139,"\0203*\266\*",отчет!E57:E139)</f>
        <v>14820.28</v>
      </c>
      <c r="J40" s="34" t="s">
        <v>20</v>
      </c>
      <c r="K40" s="40" t="s">
        <v>267</v>
      </c>
      <c r="L40" s="27"/>
      <c r="M40" s="27"/>
      <c r="N40" s="28"/>
    </row>
    <row r="41" spans="1:14" ht="51">
      <c r="A41" s="35" t="s">
        <v>189</v>
      </c>
      <c r="B41" s="35" t="s">
        <v>45</v>
      </c>
      <c r="C41" s="43" t="s">
        <v>46</v>
      </c>
      <c r="D41" s="34" t="s">
        <v>20</v>
      </c>
      <c r="E41" s="37"/>
      <c r="F41" s="51"/>
      <c r="G41" s="34" t="s">
        <v>20</v>
      </c>
      <c r="H41" s="34" t="s">
        <v>20</v>
      </c>
      <c r="I41" s="34" t="s">
        <v>20</v>
      </c>
      <c r="J41" s="34" t="s">
        <v>20</v>
      </c>
      <c r="K41" s="27"/>
      <c r="L41" s="27"/>
      <c r="M41" s="27"/>
      <c r="N41" s="28"/>
    </row>
    <row r="42" spans="1:14" ht="60">
      <c r="A42" s="31" t="s">
        <v>47</v>
      </c>
      <c r="B42" s="31" t="s">
        <v>48</v>
      </c>
      <c r="C42" s="5" t="s">
        <v>40</v>
      </c>
      <c r="D42" s="42" t="s">
        <v>20</v>
      </c>
      <c r="E42" s="42" t="s">
        <v>20</v>
      </c>
      <c r="G42" s="42" t="s">
        <v>20</v>
      </c>
      <c r="H42" s="42" t="s">
        <v>20</v>
      </c>
      <c r="I42" s="42" t="s">
        <v>20</v>
      </c>
      <c r="J42" s="42" t="s">
        <v>20</v>
      </c>
      <c r="K42" s="44"/>
      <c r="L42" s="44"/>
      <c r="M42" s="44"/>
      <c r="N42" s="45"/>
    </row>
    <row r="43" spans="1:14" ht="25.5">
      <c r="A43" s="35" t="s">
        <v>190</v>
      </c>
      <c r="B43" s="35" t="s">
        <v>49</v>
      </c>
      <c r="C43" s="43" t="s">
        <v>50</v>
      </c>
      <c r="D43" s="34" t="s">
        <v>20</v>
      </c>
      <c r="E43" s="34" t="s">
        <v>20</v>
      </c>
      <c r="F43" s="49" t="s">
        <v>20</v>
      </c>
      <c r="G43" s="34" t="s">
        <v>20</v>
      </c>
      <c r="H43" s="34" t="s">
        <v>20</v>
      </c>
      <c r="I43" s="34" t="s">
        <v>20</v>
      </c>
      <c r="J43" s="34" t="s">
        <v>20</v>
      </c>
      <c r="K43" s="27"/>
      <c r="L43" s="27"/>
      <c r="M43" s="27"/>
      <c r="N43" s="28"/>
    </row>
    <row r="44" spans="1:14" ht="38.25">
      <c r="A44" s="35" t="s">
        <v>191</v>
      </c>
      <c r="B44" s="35" t="s">
        <v>51</v>
      </c>
      <c r="C44" s="43" t="s">
        <v>52</v>
      </c>
      <c r="D44" s="34" t="s">
        <v>20</v>
      </c>
      <c r="E44" s="34" t="s">
        <v>20</v>
      </c>
      <c r="F44" s="49" t="s">
        <v>20</v>
      </c>
      <c r="G44" s="34" t="s">
        <v>20</v>
      </c>
      <c r="H44" s="34" t="s">
        <v>20</v>
      </c>
      <c r="I44" s="34" t="s">
        <v>20</v>
      </c>
      <c r="J44" s="34" t="s">
        <v>20</v>
      </c>
      <c r="K44" s="27"/>
      <c r="L44" s="27"/>
      <c r="M44" s="27"/>
      <c r="N44" s="28"/>
    </row>
    <row r="45" spans="1:14" ht="60">
      <c r="A45" s="31" t="s">
        <v>53</v>
      </c>
      <c r="B45" s="31" t="s">
        <v>54</v>
      </c>
      <c r="C45" s="5" t="s">
        <v>40</v>
      </c>
      <c r="D45" s="42" t="s">
        <v>20</v>
      </c>
      <c r="E45" s="42" t="s">
        <v>20</v>
      </c>
      <c r="F45" s="50" t="s">
        <v>20</v>
      </c>
      <c r="G45" s="42" t="s">
        <v>20</v>
      </c>
      <c r="H45" s="42" t="s">
        <v>20</v>
      </c>
      <c r="I45" s="42" t="s">
        <v>20</v>
      </c>
      <c r="J45" s="42" t="s">
        <v>20</v>
      </c>
      <c r="K45" s="44"/>
      <c r="L45" s="44"/>
      <c r="M45" s="44"/>
      <c r="N45" s="45"/>
    </row>
    <row r="46" spans="1:14" ht="25.5">
      <c r="A46" s="35" t="s">
        <v>192</v>
      </c>
      <c r="B46" s="35" t="s">
        <v>55</v>
      </c>
      <c r="C46" s="43" t="s">
        <v>56</v>
      </c>
      <c r="D46" s="34" t="s">
        <v>20</v>
      </c>
      <c r="E46" s="34" t="s">
        <v>20</v>
      </c>
      <c r="F46" s="49" t="s">
        <v>20</v>
      </c>
      <c r="G46" s="34" t="s">
        <v>20</v>
      </c>
      <c r="H46" s="34" t="s">
        <v>20</v>
      </c>
      <c r="I46" s="34" t="s">
        <v>20</v>
      </c>
      <c r="J46" s="34" t="s">
        <v>20</v>
      </c>
      <c r="K46" s="27"/>
      <c r="L46" s="27"/>
      <c r="M46" s="27"/>
      <c r="N46" s="28"/>
    </row>
    <row r="47" spans="1:14" ht="38.25">
      <c r="A47" s="35" t="s">
        <v>193</v>
      </c>
      <c r="B47" s="35" t="s">
        <v>57</v>
      </c>
      <c r="C47" s="43" t="s">
        <v>58</v>
      </c>
      <c r="D47" s="34" t="s">
        <v>20</v>
      </c>
      <c r="E47" s="34" t="s">
        <v>20</v>
      </c>
      <c r="F47" s="49" t="s">
        <v>20</v>
      </c>
      <c r="G47" s="46"/>
      <c r="H47" s="34" t="s">
        <v>20</v>
      </c>
      <c r="I47" s="34" t="s">
        <v>20</v>
      </c>
      <c r="J47" s="34" t="s">
        <v>20</v>
      </c>
      <c r="K47" s="27"/>
      <c r="L47" s="27"/>
      <c r="M47" s="27"/>
      <c r="N47" s="28"/>
    </row>
    <row r="48" spans="1:14" ht="30">
      <c r="A48" s="31" t="s">
        <v>59</v>
      </c>
      <c r="B48" s="4" t="s">
        <v>40</v>
      </c>
      <c r="C48" s="5" t="s">
        <v>40</v>
      </c>
      <c r="D48" s="42" t="s">
        <v>20</v>
      </c>
      <c r="E48" s="42" t="s">
        <v>20</v>
      </c>
      <c r="F48" s="50" t="s">
        <v>20</v>
      </c>
      <c r="G48" s="61"/>
      <c r="H48" s="42" t="s">
        <v>20</v>
      </c>
      <c r="I48" s="42" t="s">
        <v>20</v>
      </c>
      <c r="J48" s="42" t="s">
        <v>20</v>
      </c>
      <c r="K48" s="44"/>
      <c r="L48" s="44"/>
      <c r="M48" s="44"/>
      <c r="N48" s="45"/>
    </row>
    <row r="49" spans="1:14" ht="30">
      <c r="A49" s="31" t="s">
        <v>60</v>
      </c>
      <c r="B49" s="31" t="s">
        <v>61</v>
      </c>
      <c r="C49" s="5" t="s">
        <v>40</v>
      </c>
      <c r="D49" s="42" t="s">
        <v>20</v>
      </c>
      <c r="E49" s="42" t="s">
        <v>20</v>
      </c>
      <c r="F49" s="50" t="s">
        <v>20</v>
      </c>
      <c r="G49" s="48">
        <f>отчет!E136</f>
        <v>300144.2500000001</v>
      </c>
      <c r="H49" s="42"/>
      <c r="I49" s="42"/>
      <c r="J49" s="42" t="s">
        <v>20</v>
      </c>
      <c r="K49" s="44"/>
      <c r="L49" s="44"/>
      <c r="M49" s="44"/>
      <c r="N49" s="45"/>
    </row>
    <row r="50" spans="1:14" ht="60">
      <c r="A50" s="31" t="s">
        <v>62</v>
      </c>
      <c r="B50" s="31" t="s">
        <v>63</v>
      </c>
      <c r="C50" s="41" t="s">
        <v>194</v>
      </c>
      <c r="D50" s="42" t="s">
        <v>20</v>
      </c>
      <c r="E50" s="42" t="s">
        <v>20</v>
      </c>
      <c r="F50" s="50" t="s">
        <v>20</v>
      </c>
      <c r="G50" s="42"/>
      <c r="H50" s="42"/>
      <c r="I50" s="62">
        <f>SUMIF(отчет!$B7:$B55,"*51181*",отчет!E7:E55)-SUMIF(отчет!$B57:$B139,"*\0203\*",отчет!E57:E139)</f>
        <v>6004.719999999999</v>
      </c>
      <c r="J50" s="42"/>
      <c r="K50" s="44"/>
      <c r="L50" s="44"/>
      <c r="M50" s="44"/>
      <c r="N50" s="45"/>
    </row>
    <row r="51" spans="1:14" ht="60">
      <c r="A51" s="31" t="s">
        <v>64</v>
      </c>
      <c r="B51" s="31" t="s">
        <v>65</v>
      </c>
      <c r="C51" s="41" t="s">
        <v>66</v>
      </c>
      <c r="D51" s="42" t="s">
        <v>20</v>
      </c>
      <c r="E51" s="42" t="s">
        <v>20</v>
      </c>
      <c r="F51" s="50" t="s">
        <v>20</v>
      </c>
      <c r="G51" s="63">
        <f>SUMIF(отчет!$B7:$B55,"*7404*",отчет!E7:E55)-SUMIF(отчет!$B57:$B139,"*7404*",отчет!E57:E139)</f>
        <v>67768</v>
      </c>
      <c r="H51" s="42"/>
      <c r="I51" s="42" t="s">
        <v>20</v>
      </c>
      <c r="J51" s="42" t="s">
        <v>20</v>
      </c>
      <c r="K51" s="44"/>
      <c r="L51" s="44"/>
      <c r="M51" s="44"/>
      <c r="N51" s="45"/>
    </row>
    <row r="52" spans="1:14" ht="30">
      <c r="A52" s="31" t="s">
        <v>67</v>
      </c>
      <c r="B52" s="31" t="s">
        <v>68</v>
      </c>
      <c r="C52" s="41" t="s">
        <v>69</v>
      </c>
      <c r="D52" s="42" t="s">
        <v>20</v>
      </c>
      <c r="E52" s="42" t="s">
        <v>20</v>
      </c>
      <c r="F52" s="50" t="s">
        <v>20</v>
      </c>
      <c r="G52" s="60">
        <f>+G49-I50-G51</f>
        <v>226371.53000000014</v>
      </c>
      <c r="H52" s="42"/>
      <c r="I52" s="42" t="s">
        <v>20</v>
      </c>
      <c r="J52" s="42" t="s">
        <v>20</v>
      </c>
      <c r="K52" s="44"/>
      <c r="L52" s="44"/>
      <c r="M52" s="44"/>
      <c r="N52" s="45"/>
    </row>
    <row r="53" spans="1:14" ht="60">
      <c r="A53" s="31" t="s">
        <v>70</v>
      </c>
      <c r="B53" s="31" t="s">
        <v>71</v>
      </c>
      <c r="C53" s="41" t="s">
        <v>72</v>
      </c>
      <c r="D53" s="42" t="s">
        <v>20</v>
      </c>
      <c r="E53" s="42" t="s">
        <v>20</v>
      </c>
      <c r="F53" s="50" t="s">
        <v>20</v>
      </c>
      <c r="G53" s="42" t="s">
        <v>20</v>
      </c>
      <c r="H53" s="42" t="s">
        <v>20</v>
      </c>
      <c r="I53" s="42" t="s">
        <v>20</v>
      </c>
      <c r="J53" s="42" t="s">
        <v>20</v>
      </c>
      <c r="K53" s="44"/>
      <c r="L53" s="44"/>
      <c r="M53" s="44"/>
      <c r="N53" s="45"/>
    </row>
    <row r="54" spans="1:14" ht="15">
      <c r="A54" s="31" t="s">
        <v>73</v>
      </c>
      <c r="B54" s="4" t="s">
        <v>40</v>
      </c>
      <c r="C54" s="5" t="s">
        <v>40</v>
      </c>
      <c r="D54" s="42" t="s">
        <v>20</v>
      </c>
      <c r="E54" s="42" t="s">
        <v>20</v>
      </c>
      <c r="F54" s="50" t="s">
        <v>20</v>
      </c>
      <c r="G54" s="42" t="s">
        <v>20</v>
      </c>
      <c r="H54" s="42" t="s">
        <v>20</v>
      </c>
      <c r="I54" s="42" t="s">
        <v>20</v>
      </c>
      <c r="J54" s="42" t="s">
        <v>20</v>
      </c>
      <c r="K54" s="44"/>
      <c r="L54" s="44"/>
      <c r="M54" s="44"/>
      <c r="N54" s="45"/>
    </row>
    <row r="55" spans="1:14" ht="12.75">
      <c r="A55" s="35" t="s">
        <v>74</v>
      </c>
      <c r="B55" s="35" t="s">
        <v>75</v>
      </c>
      <c r="C55" s="33" t="s">
        <v>40</v>
      </c>
      <c r="D55" s="34" t="s">
        <v>20</v>
      </c>
      <c r="E55" s="34" t="s">
        <v>20</v>
      </c>
      <c r="F55" s="49" t="s">
        <v>20</v>
      </c>
      <c r="G55" s="34" t="s">
        <v>20</v>
      </c>
      <c r="H55" s="34" t="s">
        <v>20</v>
      </c>
      <c r="I55" s="34" t="s">
        <v>20</v>
      </c>
      <c r="J55" s="34" t="s">
        <v>20</v>
      </c>
      <c r="K55" s="27"/>
      <c r="L55" s="27"/>
      <c r="M55" s="27"/>
      <c r="N55" s="28"/>
    </row>
    <row r="56" spans="1:14" ht="12.75">
      <c r="A56" s="35" t="s">
        <v>76</v>
      </c>
      <c r="B56" s="32" t="s">
        <v>40</v>
      </c>
      <c r="C56" s="33" t="s">
        <v>40</v>
      </c>
      <c r="D56" s="34" t="s">
        <v>20</v>
      </c>
      <c r="E56" s="34" t="s">
        <v>20</v>
      </c>
      <c r="F56" s="49" t="s">
        <v>20</v>
      </c>
      <c r="G56" s="34" t="s">
        <v>20</v>
      </c>
      <c r="H56" s="34" t="s">
        <v>20</v>
      </c>
      <c r="I56" s="34" t="s">
        <v>20</v>
      </c>
      <c r="J56" s="34" t="s">
        <v>20</v>
      </c>
      <c r="K56" s="27"/>
      <c r="L56" s="27"/>
      <c r="M56" s="27"/>
      <c r="N56" s="28"/>
    </row>
    <row r="57" spans="1:14" ht="38.25">
      <c r="A57" s="35" t="s">
        <v>77</v>
      </c>
      <c r="B57" s="35" t="s">
        <v>78</v>
      </c>
      <c r="C57" s="43" t="s">
        <v>79</v>
      </c>
      <c r="D57" s="34" t="s">
        <v>20</v>
      </c>
      <c r="E57" s="34" t="s">
        <v>20</v>
      </c>
      <c r="F57" s="49" t="s">
        <v>20</v>
      </c>
      <c r="G57" s="34" t="s">
        <v>20</v>
      </c>
      <c r="H57" s="34" t="s">
        <v>20</v>
      </c>
      <c r="I57" s="34" t="s">
        <v>20</v>
      </c>
      <c r="J57" s="34" t="s">
        <v>20</v>
      </c>
      <c r="K57" s="27"/>
      <c r="L57" s="27"/>
      <c r="M57" s="27"/>
      <c r="N57" s="28"/>
    </row>
    <row r="58" spans="1:14" ht="38.25">
      <c r="A58" s="35" t="s">
        <v>80</v>
      </c>
      <c r="B58" s="35" t="s">
        <v>81</v>
      </c>
      <c r="C58" s="33" t="s">
        <v>40</v>
      </c>
      <c r="D58" s="34" t="s">
        <v>20</v>
      </c>
      <c r="E58" s="34" t="s">
        <v>20</v>
      </c>
      <c r="F58" s="49" t="s">
        <v>20</v>
      </c>
      <c r="G58" s="34" t="s">
        <v>20</v>
      </c>
      <c r="H58" s="34" t="s">
        <v>20</v>
      </c>
      <c r="I58" s="34" t="s">
        <v>20</v>
      </c>
      <c r="J58" s="34" t="s">
        <v>20</v>
      </c>
      <c r="K58" s="27"/>
      <c r="L58" s="27"/>
      <c r="M58" s="27"/>
      <c r="N58" s="28"/>
    </row>
    <row r="59" spans="1:14" ht="38.25">
      <c r="A59" s="35" t="s">
        <v>268</v>
      </c>
      <c r="B59" s="35" t="s">
        <v>82</v>
      </c>
      <c r="C59" s="43" t="s">
        <v>83</v>
      </c>
      <c r="D59" s="34" t="s">
        <v>20</v>
      </c>
      <c r="E59" s="34" t="s">
        <v>20</v>
      </c>
      <c r="F59" s="49" t="s">
        <v>20</v>
      </c>
      <c r="G59" s="34" t="s">
        <v>20</v>
      </c>
      <c r="H59" s="34" t="s">
        <v>20</v>
      </c>
      <c r="I59" s="34" t="s">
        <v>20</v>
      </c>
      <c r="J59" s="34" t="s">
        <v>20</v>
      </c>
      <c r="K59" s="27"/>
      <c r="L59" s="27"/>
      <c r="M59" s="27"/>
      <c r="N59" s="28"/>
    </row>
    <row r="60" spans="1:14" ht="38.25">
      <c r="A60" s="35" t="s">
        <v>84</v>
      </c>
      <c r="B60" s="35" t="s">
        <v>85</v>
      </c>
      <c r="C60" s="43" t="s">
        <v>86</v>
      </c>
      <c r="D60" s="34" t="s">
        <v>20</v>
      </c>
      <c r="E60" s="34" t="s">
        <v>20</v>
      </c>
      <c r="F60" s="49" t="s">
        <v>20</v>
      </c>
      <c r="G60" s="34" t="s">
        <v>20</v>
      </c>
      <c r="H60" s="34" t="s">
        <v>20</v>
      </c>
      <c r="I60" s="34" t="s">
        <v>20</v>
      </c>
      <c r="J60" s="34" t="s">
        <v>20</v>
      </c>
      <c r="K60" s="27"/>
      <c r="L60" s="27"/>
      <c r="M60" s="27"/>
      <c r="N60" s="28"/>
    </row>
    <row r="61" spans="1:14" ht="38.25">
      <c r="A61" s="35" t="s">
        <v>269</v>
      </c>
      <c r="B61" s="35" t="s">
        <v>87</v>
      </c>
      <c r="C61" s="43" t="s">
        <v>88</v>
      </c>
      <c r="D61" s="34" t="s">
        <v>20</v>
      </c>
      <c r="E61" s="34" t="s">
        <v>20</v>
      </c>
      <c r="F61" s="49" t="s">
        <v>20</v>
      </c>
      <c r="G61" s="34" t="s">
        <v>20</v>
      </c>
      <c r="H61" s="34" t="s">
        <v>20</v>
      </c>
      <c r="I61" s="34" t="s">
        <v>20</v>
      </c>
      <c r="J61" s="34" t="s">
        <v>20</v>
      </c>
      <c r="K61" s="27"/>
      <c r="L61" s="27"/>
      <c r="M61" s="27"/>
      <c r="N61" s="28"/>
    </row>
    <row r="62" spans="1:14" ht="25.5">
      <c r="A62" s="35" t="s">
        <v>89</v>
      </c>
      <c r="B62" s="35" t="s">
        <v>90</v>
      </c>
      <c r="C62" s="43" t="s">
        <v>91</v>
      </c>
      <c r="D62" s="34" t="s">
        <v>20</v>
      </c>
      <c r="E62" s="34" t="s">
        <v>20</v>
      </c>
      <c r="F62" s="49" t="s">
        <v>20</v>
      </c>
      <c r="G62" s="34" t="s">
        <v>20</v>
      </c>
      <c r="H62" s="34" t="s">
        <v>20</v>
      </c>
      <c r="I62" s="34" t="s">
        <v>20</v>
      </c>
      <c r="J62" s="34" t="s">
        <v>20</v>
      </c>
      <c r="K62" s="27"/>
      <c r="L62" s="27"/>
      <c r="M62" s="27"/>
      <c r="N62" s="28"/>
    </row>
    <row r="63" spans="1:14" ht="25.5">
      <c r="A63" s="35" t="s">
        <v>92</v>
      </c>
      <c r="B63" s="35" t="s">
        <v>93</v>
      </c>
      <c r="C63" s="43" t="s">
        <v>94</v>
      </c>
      <c r="D63" s="34" t="s">
        <v>20</v>
      </c>
      <c r="E63" s="34" t="s">
        <v>20</v>
      </c>
      <c r="F63" s="49" t="s">
        <v>20</v>
      </c>
      <c r="G63" s="34" t="s">
        <v>20</v>
      </c>
      <c r="H63" s="34" t="s">
        <v>20</v>
      </c>
      <c r="I63" s="34" t="s">
        <v>20</v>
      </c>
      <c r="J63" s="34" t="s">
        <v>20</v>
      </c>
      <c r="K63" s="27"/>
      <c r="L63" s="27"/>
      <c r="M63" s="27"/>
      <c r="N63" s="28"/>
    </row>
    <row r="64" spans="1:14" ht="38.25">
      <c r="A64" s="35" t="s">
        <v>95</v>
      </c>
      <c r="B64" s="35" t="s">
        <v>96</v>
      </c>
      <c r="C64" s="43" t="s">
        <v>97</v>
      </c>
      <c r="D64" s="34" t="s">
        <v>20</v>
      </c>
      <c r="E64" s="34" t="s">
        <v>20</v>
      </c>
      <c r="F64" s="49" t="s">
        <v>20</v>
      </c>
      <c r="G64" s="34" t="s">
        <v>20</v>
      </c>
      <c r="H64" s="34" t="s">
        <v>20</v>
      </c>
      <c r="I64" s="34" t="s">
        <v>20</v>
      </c>
      <c r="J64" s="34" t="s">
        <v>20</v>
      </c>
      <c r="K64" s="27"/>
      <c r="L64" s="27"/>
      <c r="M64" s="27"/>
      <c r="N64" s="28"/>
    </row>
    <row r="65" spans="1:14" ht="12.75">
      <c r="A65" s="35" t="s">
        <v>98</v>
      </c>
      <c r="B65" s="35" t="s">
        <v>99</v>
      </c>
      <c r="C65" s="33" t="s">
        <v>40</v>
      </c>
      <c r="D65" s="34" t="s">
        <v>20</v>
      </c>
      <c r="E65" s="34" t="s">
        <v>20</v>
      </c>
      <c r="F65" s="49" t="s">
        <v>20</v>
      </c>
      <c r="G65" s="34" t="s">
        <v>20</v>
      </c>
      <c r="H65" s="34" t="s">
        <v>20</v>
      </c>
      <c r="I65" s="34" t="s">
        <v>20</v>
      </c>
      <c r="J65" s="34" t="s">
        <v>20</v>
      </c>
      <c r="K65" s="27"/>
      <c r="L65" s="27"/>
      <c r="M65" s="27"/>
      <c r="N65" s="28"/>
    </row>
    <row r="66" spans="1:14" ht="38.25">
      <c r="A66" s="35" t="s">
        <v>100</v>
      </c>
      <c r="B66" s="35" t="s">
        <v>101</v>
      </c>
      <c r="C66" s="43" t="s">
        <v>102</v>
      </c>
      <c r="D66" s="34" t="s">
        <v>20</v>
      </c>
      <c r="E66" s="34" t="s">
        <v>20</v>
      </c>
      <c r="F66" s="49" t="s">
        <v>20</v>
      </c>
      <c r="G66" s="34" t="s">
        <v>20</v>
      </c>
      <c r="H66" s="34" t="s">
        <v>20</v>
      </c>
      <c r="I66" s="34" t="s">
        <v>20</v>
      </c>
      <c r="J66" s="34" t="s">
        <v>20</v>
      </c>
      <c r="K66" s="27"/>
      <c r="L66" s="27"/>
      <c r="M66" s="27"/>
      <c r="N66" s="28"/>
    </row>
    <row r="67" spans="1:14" ht="38.25">
      <c r="A67" s="35" t="s">
        <v>103</v>
      </c>
      <c r="B67" s="35" t="s">
        <v>104</v>
      </c>
      <c r="C67" s="43" t="s">
        <v>105</v>
      </c>
      <c r="D67" s="34" t="s">
        <v>20</v>
      </c>
      <c r="E67" s="34" t="s">
        <v>20</v>
      </c>
      <c r="F67" s="49" t="s">
        <v>20</v>
      </c>
      <c r="G67" s="34" t="s">
        <v>20</v>
      </c>
      <c r="H67" s="34" t="s">
        <v>20</v>
      </c>
      <c r="I67" s="34" t="s">
        <v>20</v>
      </c>
      <c r="J67" s="34" t="s">
        <v>20</v>
      </c>
      <c r="K67" s="27"/>
      <c r="L67" s="27"/>
      <c r="M67" s="27"/>
      <c r="N67" s="28"/>
    </row>
    <row r="68" spans="1:14" ht="38.25">
      <c r="A68" s="35" t="s">
        <v>100</v>
      </c>
      <c r="B68" s="35" t="s">
        <v>106</v>
      </c>
      <c r="C68" s="43" t="s">
        <v>107</v>
      </c>
      <c r="D68" s="34" t="s">
        <v>20</v>
      </c>
      <c r="E68" s="34" t="s">
        <v>20</v>
      </c>
      <c r="F68" s="49" t="s">
        <v>20</v>
      </c>
      <c r="G68" s="34" t="s">
        <v>20</v>
      </c>
      <c r="H68" s="34" t="s">
        <v>20</v>
      </c>
      <c r="I68" s="34" t="s">
        <v>20</v>
      </c>
      <c r="J68" s="34" t="s">
        <v>20</v>
      </c>
      <c r="K68" s="27"/>
      <c r="L68" s="27"/>
      <c r="M68" s="27"/>
      <c r="N68" s="28"/>
    </row>
    <row r="69" spans="1:14" ht="51">
      <c r="A69" s="35" t="s">
        <v>108</v>
      </c>
      <c r="B69" s="35" t="s">
        <v>109</v>
      </c>
      <c r="C69" s="43" t="s">
        <v>110</v>
      </c>
      <c r="D69" s="34" t="s">
        <v>20</v>
      </c>
      <c r="E69" s="34" t="s">
        <v>20</v>
      </c>
      <c r="F69" s="49" t="s">
        <v>20</v>
      </c>
      <c r="G69" s="34" t="s">
        <v>20</v>
      </c>
      <c r="H69" s="34" t="s">
        <v>20</v>
      </c>
      <c r="I69" s="34" t="s">
        <v>20</v>
      </c>
      <c r="J69" s="34" t="s">
        <v>20</v>
      </c>
      <c r="K69" s="27"/>
      <c r="L69" s="27"/>
      <c r="M69" s="27"/>
      <c r="N69" s="28"/>
    </row>
    <row r="70" spans="1:14" ht="38.25">
      <c r="A70" s="35" t="s">
        <v>100</v>
      </c>
      <c r="B70" s="35" t="s">
        <v>111</v>
      </c>
      <c r="C70" s="43" t="s">
        <v>112</v>
      </c>
      <c r="D70" s="34" t="s">
        <v>20</v>
      </c>
      <c r="E70" s="34" t="s">
        <v>20</v>
      </c>
      <c r="F70" s="49" t="s">
        <v>20</v>
      </c>
      <c r="G70" s="34" t="s">
        <v>20</v>
      </c>
      <c r="H70" s="34" t="s">
        <v>20</v>
      </c>
      <c r="I70" s="34" t="s">
        <v>20</v>
      </c>
      <c r="J70" s="34" t="s">
        <v>20</v>
      </c>
      <c r="K70" s="27"/>
      <c r="L70" s="27"/>
      <c r="M70" s="27"/>
      <c r="N70" s="28"/>
    </row>
    <row r="71" spans="1:14" ht="51">
      <c r="A71" s="35" t="s">
        <v>113</v>
      </c>
      <c r="B71" s="35" t="s">
        <v>114</v>
      </c>
      <c r="C71" s="43" t="s">
        <v>115</v>
      </c>
      <c r="D71" s="34" t="s">
        <v>20</v>
      </c>
      <c r="E71" s="34" t="s">
        <v>20</v>
      </c>
      <c r="F71" s="49" t="s">
        <v>20</v>
      </c>
      <c r="G71" s="34" t="s">
        <v>20</v>
      </c>
      <c r="H71" s="34" t="s">
        <v>20</v>
      </c>
      <c r="I71" s="34" t="s">
        <v>20</v>
      </c>
      <c r="J71" s="34" t="s">
        <v>20</v>
      </c>
      <c r="K71" s="27"/>
      <c r="L71" s="27"/>
      <c r="M71" s="27"/>
      <c r="N71" s="28"/>
    </row>
    <row r="72" spans="1:14" ht="38.25">
      <c r="A72" s="35" t="s">
        <v>116</v>
      </c>
      <c r="B72" s="35" t="s">
        <v>195</v>
      </c>
      <c r="C72" s="43" t="s">
        <v>117</v>
      </c>
      <c r="D72" s="34" t="s">
        <v>20</v>
      </c>
      <c r="E72" s="34" t="s">
        <v>20</v>
      </c>
      <c r="F72" s="49" t="s">
        <v>20</v>
      </c>
      <c r="G72" s="34" t="s">
        <v>20</v>
      </c>
      <c r="H72" s="34" t="s">
        <v>20</v>
      </c>
      <c r="I72" s="34" t="s">
        <v>20</v>
      </c>
      <c r="J72" s="34" t="s">
        <v>20</v>
      </c>
      <c r="K72" s="27"/>
      <c r="L72" s="27"/>
      <c r="M72" s="27"/>
      <c r="N72" s="28"/>
    </row>
    <row r="73" spans="1:14" ht="45">
      <c r="A73" s="31" t="s">
        <v>122</v>
      </c>
      <c r="B73" s="31" t="s">
        <v>123</v>
      </c>
      <c r="C73" s="5" t="s">
        <v>40</v>
      </c>
      <c r="D73" s="42" t="s">
        <v>20</v>
      </c>
      <c r="E73" s="42" t="s">
        <v>20</v>
      </c>
      <c r="F73" s="50" t="s">
        <v>20</v>
      </c>
      <c r="G73" s="42" t="s">
        <v>20</v>
      </c>
      <c r="H73" s="42" t="s">
        <v>20</v>
      </c>
      <c r="I73" s="42" t="s">
        <v>20</v>
      </c>
      <c r="J73" s="42" t="s">
        <v>20</v>
      </c>
      <c r="K73" s="44"/>
      <c r="L73" s="44"/>
      <c r="M73" s="44"/>
      <c r="N73" s="45"/>
    </row>
    <row r="74" spans="1:14" ht="15">
      <c r="A74" s="31" t="s">
        <v>76</v>
      </c>
      <c r="B74" s="4" t="s">
        <v>40</v>
      </c>
      <c r="C74" s="5" t="s">
        <v>40</v>
      </c>
      <c r="D74" s="42" t="s">
        <v>20</v>
      </c>
      <c r="E74" s="42" t="s">
        <v>20</v>
      </c>
      <c r="F74" s="50" t="s">
        <v>20</v>
      </c>
      <c r="G74" s="42" t="s">
        <v>20</v>
      </c>
      <c r="H74" s="42" t="s">
        <v>20</v>
      </c>
      <c r="I74" s="42" t="s">
        <v>20</v>
      </c>
      <c r="J74" s="42" t="s">
        <v>20</v>
      </c>
      <c r="K74" s="44"/>
      <c r="L74" s="44"/>
      <c r="M74" s="44"/>
      <c r="N74" s="45"/>
    </row>
    <row r="75" spans="1:14" ht="15">
      <c r="A75" s="31" t="s">
        <v>15</v>
      </c>
      <c r="B75" s="31" t="s">
        <v>124</v>
      </c>
      <c r="C75" s="41" t="s">
        <v>125</v>
      </c>
      <c r="D75" s="42" t="s">
        <v>20</v>
      </c>
      <c r="E75" s="42" t="s">
        <v>20</v>
      </c>
      <c r="F75" s="50" t="s">
        <v>20</v>
      </c>
      <c r="G75" s="42" t="s">
        <v>20</v>
      </c>
      <c r="H75" s="42" t="s">
        <v>20</v>
      </c>
      <c r="I75" s="42" t="s">
        <v>20</v>
      </c>
      <c r="J75" s="42" t="s">
        <v>20</v>
      </c>
      <c r="K75" s="44"/>
      <c r="L75" s="44"/>
      <c r="M75" s="44"/>
      <c r="N75" s="45"/>
    </row>
    <row r="76" spans="1:14" ht="15">
      <c r="A76" s="31" t="s">
        <v>21</v>
      </c>
      <c r="B76" s="31" t="s">
        <v>126</v>
      </c>
      <c r="C76" s="41" t="s">
        <v>127</v>
      </c>
      <c r="D76" s="42" t="s">
        <v>20</v>
      </c>
      <c r="E76" s="42" t="s">
        <v>20</v>
      </c>
      <c r="F76" s="50" t="s">
        <v>20</v>
      </c>
      <c r="G76" s="42" t="s">
        <v>20</v>
      </c>
      <c r="H76" s="42" t="s">
        <v>20</v>
      </c>
      <c r="I76" s="42" t="s">
        <v>20</v>
      </c>
      <c r="J76" s="42" t="s">
        <v>20</v>
      </c>
      <c r="K76" s="44"/>
      <c r="L76" s="44"/>
      <c r="M76" s="44"/>
      <c r="N76" s="45"/>
    </row>
    <row r="77" spans="1:14" ht="30">
      <c r="A77" s="31" t="s">
        <v>118</v>
      </c>
      <c r="B77" s="31" t="s">
        <v>128</v>
      </c>
      <c r="C77" s="41" t="s">
        <v>129</v>
      </c>
      <c r="D77" s="42" t="s">
        <v>20</v>
      </c>
      <c r="E77" s="42" t="s">
        <v>20</v>
      </c>
      <c r="F77" s="50" t="s">
        <v>20</v>
      </c>
      <c r="G77" s="42" t="s">
        <v>20</v>
      </c>
      <c r="H77" s="42" t="s">
        <v>20</v>
      </c>
      <c r="I77" s="42" t="s">
        <v>20</v>
      </c>
      <c r="J77" s="42" t="s">
        <v>20</v>
      </c>
      <c r="K77" s="44"/>
      <c r="L77" s="44"/>
      <c r="M77" s="44"/>
      <c r="N77" s="45"/>
    </row>
    <row r="78" spans="1:14" ht="15">
      <c r="A78" s="31" t="s">
        <v>119</v>
      </c>
      <c r="B78" s="31" t="s">
        <v>130</v>
      </c>
      <c r="C78" s="41" t="s">
        <v>131</v>
      </c>
      <c r="D78" s="42" t="s">
        <v>20</v>
      </c>
      <c r="E78" s="42" t="s">
        <v>20</v>
      </c>
      <c r="F78" s="50" t="s">
        <v>20</v>
      </c>
      <c r="G78" s="42" t="s">
        <v>20</v>
      </c>
      <c r="H78" s="42" t="s">
        <v>20</v>
      </c>
      <c r="I78" s="42" t="s">
        <v>20</v>
      </c>
      <c r="J78" s="42" t="s">
        <v>20</v>
      </c>
      <c r="K78" s="44"/>
      <c r="L78" s="44"/>
      <c r="M78" s="44"/>
      <c r="N78" s="45"/>
    </row>
    <row r="79" spans="1:14" ht="30">
      <c r="A79" s="31" t="s">
        <v>120</v>
      </c>
      <c r="B79" s="31" t="s">
        <v>132</v>
      </c>
      <c r="C79" s="41" t="s">
        <v>133</v>
      </c>
      <c r="D79" s="42" t="s">
        <v>20</v>
      </c>
      <c r="E79" s="42" t="s">
        <v>20</v>
      </c>
      <c r="F79" s="50" t="s">
        <v>20</v>
      </c>
      <c r="G79" s="42" t="s">
        <v>20</v>
      </c>
      <c r="H79" s="42" t="s">
        <v>20</v>
      </c>
      <c r="I79" s="42" t="s">
        <v>20</v>
      </c>
      <c r="J79" s="42" t="s">
        <v>20</v>
      </c>
      <c r="K79" s="44"/>
      <c r="L79" s="44"/>
      <c r="M79" s="44"/>
      <c r="N79" s="45"/>
    </row>
    <row r="80" spans="1:14" ht="30">
      <c r="A80" s="31" t="s">
        <v>121</v>
      </c>
      <c r="B80" s="31" t="s">
        <v>134</v>
      </c>
      <c r="C80" s="41" t="s">
        <v>135</v>
      </c>
      <c r="D80" s="42" t="s">
        <v>20</v>
      </c>
      <c r="E80" s="42" t="s">
        <v>20</v>
      </c>
      <c r="F80" s="50" t="s">
        <v>20</v>
      </c>
      <c r="G80" s="42" t="s">
        <v>20</v>
      </c>
      <c r="H80" s="42" t="s">
        <v>20</v>
      </c>
      <c r="I80" s="42" t="s">
        <v>20</v>
      </c>
      <c r="J80" s="42" t="s">
        <v>20</v>
      </c>
      <c r="K80" s="44"/>
      <c r="L80" s="44"/>
      <c r="M80" s="44"/>
      <c r="N80" s="45"/>
    </row>
    <row r="81" spans="1:14" ht="45">
      <c r="A81" s="31" t="s">
        <v>148</v>
      </c>
      <c r="B81" s="31" t="s">
        <v>136</v>
      </c>
      <c r="C81" s="41" t="s">
        <v>196</v>
      </c>
      <c r="D81" s="42" t="s">
        <v>20</v>
      </c>
      <c r="E81" s="42" t="s">
        <v>20</v>
      </c>
      <c r="F81" s="50" t="s">
        <v>20</v>
      </c>
      <c r="G81" s="42" t="s">
        <v>20</v>
      </c>
      <c r="H81" s="42" t="s">
        <v>20</v>
      </c>
      <c r="I81" s="42" t="s">
        <v>20</v>
      </c>
      <c r="J81" s="42" t="s">
        <v>20</v>
      </c>
      <c r="K81" s="44"/>
      <c r="L81" s="44"/>
      <c r="M81" s="44"/>
      <c r="N81" s="45"/>
    </row>
    <row r="82" spans="1:14" ht="15">
      <c r="A82" s="31" t="s">
        <v>76</v>
      </c>
      <c r="B82" s="4" t="s">
        <v>40</v>
      </c>
      <c r="C82" s="5" t="s">
        <v>40</v>
      </c>
      <c r="D82" s="42" t="s">
        <v>20</v>
      </c>
      <c r="E82" s="42" t="s">
        <v>20</v>
      </c>
      <c r="F82" s="50" t="s">
        <v>20</v>
      </c>
      <c r="G82" s="42" t="s">
        <v>20</v>
      </c>
      <c r="H82" s="42" t="s">
        <v>20</v>
      </c>
      <c r="I82" s="42" t="s">
        <v>20</v>
      </c>
      <c r="J82" s="42" t="s">
        <v>20</v>
      </c>
      <c r="K82" s="44"/>
      <c r="L82" s="44"/>
      <c r="M82" s="44"/>
      <c r="N82" s="45"/>
    </row>
    <row r="83" spans="1:14" ht="45">
      <c r="A83" s="31" t="s">
        <v>149</v>
      </c>
      <c r="B83" s="31" t="s">
        <v>137</v>
      </c>
      <c r="C83" s="41" t="s">
        <v>197</v>
      </c>
      <c r="D83" s="42" t="s">
        <v>20</v>
      </c>
      <c r="E83" s="42" t="s">
        <v>20</v>
      </c>
      <c r="F83" s="50" t="s">
        <v>20</v>
      </c>
      <c r="G83" s="42" t="s">
        <v>20</v>
      </c>
      <c r="H83" s="42" t="s">
        <v>20</v>
      </c>
      <c r="I83" s="42" t="s">
        <v>20</v>
      </c>
      <c r="J83" s="42" t="s">
        <v>20</v>
      </c>
      <c r="K83" s="44"/>
      <c r="L83" s="44"/>
      <c r="M83" s="44"/>
      <c r="N83" s="45"/>
    </row>
    <row r="84" spans="1:14" ht="12.75">
      <c r="A84" s="28"/>
      <c r="B84" s="28"/>
      <c r="C84" s="28"/>
      <c r="D84" s="27"/>
      <c r="E84" s="27"/>
      <c r="G84" s="27"/>
      <c r="H84" s="27"/>
      <c r="I84" s="27"/>
      <c r="J84" s="27"/>
      <c r="K84" s="27"/>
      <c r="L84" s="27"/>
      <c r="M84" s="27"/>
      <c r="N84" s="28"/>
    </row>
    <row r="85" spans="1:14" ht="12.75">
      <c r="A85" s="28"/>
      <c r="B85" s="28"/>
      <c r="C85" s="28"/>
      <c r="D85" s="27"/>
      <c r="E85" s="27"/>
      <c r="G85" s="27"/>
      <c r="H85" s="27"/>
      <c r="I85" s="27"/>
      <c r="J85" s="27"/>
      <c r="K85" s="27"/>
      <c r="L85" s="27"/>
      <c r="M85" s="27"/>
      <c r="N85" s="28"/>
    </row>
    <row r="86" spans="1:14" ht="12.75">
      <c r="A86" s="103" t="s">
        <v>40</v>
      </c>
      <c r="B86" s="104"/>
      <c r="C86" s="104"/>
      <c r="D86" s="104"/>
      <c r="E86" s="104"/>
      <c r="F86" s="104"/>
      <c r="G86" s="104"/>
      <c r="H86" s="104"/>
      <c r="I86" s="104"/>
      <c r="J86" s="104"/>
      <c r="K86" s="27"/>
      <c r="L86" s="27"/>
      <c r="M86" s="27"/>
      <c r="N86" s="28"/>
    </row>
    <row r="87" spans="1:14" ht="12.75">
      <c r="A87" s="103" t="s">
        <v>40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27"/>
      <c r="L87" s="27"/>
      <c r="M87" s="27"/>
      <c r="N87" s="28"/>
    </row>
    <row r="88" spans="1:14" ht="12.75">
      <c r="A88" s="105" t="s">
        <v>270</v>
      </c>
      <c r="B88" s="106"/>
      <c r="C88" s="106"/>
      <c r="D88" s="106"/>
      <c r="E88" s="106"/>
      <c r="F88" s="106"/>
      <c r="G88" s="106"/>
      <c r="H88" s="106"/>
      <c r="I88" s="106"/>
      <c r="J88" s="106"/>
      <c r="K88" s="27"/>
      <c r="L88" s="27"/>
      <c r="M88" s="27"/>
      <c r="N88" s="28"/>
    </row>
    <row r="89" spans="1:14" ht="12.75">
      <c r="A89" s="105" t="s">
        <v>20</v>
      </c>
      <c r="B89" s="106"/>
      <c r="C89" s="106"/>
      <c r="D89" s="106"/>
      <c r="E89" s="106"/>
      <c r="F89" s="106"/>
      <c r="G89" s="106"/>
      <c r="H89" s="106"/>
      <c r="I89" s="106"/>
      <c r="J89" s="106"/>
      <c r="K89" s="27"/>
      <c r="L89" s="27"/>
      <c r="M89" s="27"/>
      <c r="N89" s="28"/>
    </row>
    <row r="90" spans="1:14" ht="12.75">
      <c r="A90" s="105" t="s">
        <v>198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27"/>
      <c r="L90" s="27"/>
      <c r="M90" s="27"/>
      <c r="N90" s="28"/>
    </row>
    <row r="91" spans="1:14" ht="12.75">
      <c r="A91" s="105" t="s">
        <v>40</v>
      </c>
      <c r="B91" s="106"/>
      <c r="C91" s="106"/>
      <c r="D91" s="106"/>
      <c r="E91" s="106"/>
      <c r="F91" s="106"/>
      <c r="G91" s="106"/>
      <c r="H91" s="106"/>
      <c r="I91" s="106"/>
      <c r="J91" s="106"/>
      <c r="K91" s="27"/>
      <c r="L91" s="27"/>
      <c r="M91" s="27"/>
      <c r="N91" s="28"/>
    </row>
    <row r="92" spans="1:14" ht="12.75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27"/>
      <c r="L92" s="27"/>
      <c r="M92" s="27"/>
      <c r="N92" s="28"/>
    </row>
    <row r="93" spans="1:14" ht="12.75">
      <c r="A93" s="105" t="s">
        <v>40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27"/>
      <c r="L93" s="27"/>
      <c r="M93" s="27"/>
      <c r="N93" s="28"/>
    </row>
    <row r="94" spans="1:14" ht="12.75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27"/>
      <c r="L94" s="27"/>
      <c r="M94" s="27"/>
      <c r="N94" s="28"/>
    </row>
  </sheetData>
  <sheetProtection/>
  <mergeCells count="13">
    <mergeCell ref="A94:J94"/>
    <mergeCell ref="A88:J88"/>
    <mergeCell ref="A89:J89"/>
    <mergeCell ref="A90:J90"/>
    <mergeCell ref="A91:J91"/>
    <mergeCell ref="A92:J92"/>
    <mergeCell ref="A93:J93"/>
    <mergeCell ref="A1:J1"/>
    <mergeCell ref="A2:J2"/>
    <mergeCell ref="A3:J3"/>
    <mergeCell ref="A4:J4"/>
    <mergeCell ref="A86:J86"/>
    <mergeCell ref="A87:J87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C142"/>
  <sheetViews>
    <sheetView zoomScalePageLayoutView="0" workbookViewId="0" topLeftCell="A103">
      <selection activeCell="B126" sqref="B126"/>
    </sheetView>
  </sheetViews>
  <sheetFormatPr defaultColWidth="9.00390625" defaultRowHeight="12.75"/>
  <cols>
    <col min="1" max="1" width="76.625" style="0" customWidth="1"/>
    <col min="2" max="2" width="26.75390625" style="0" customWidth="1"/>
    <col min="3" max="3" width="6.625" style="0" customWidth="1"/>
    <col min="4" max="4" width="82.875" style="0" customWidth="1"/>
    <col min="5" max="5" width="32.125" style="0" customWidth="1"/>
  </cols>
  <sheetData>
    <row r="1" spans="1:2" ht="12.75">
      <c r="A1" t="s">
        <v>32</v>
      </c>
      <c r="B1" t="s">
        <v>228</v>
      </c>
    </row>
    <row r="2" spans="1:2" ht="12.75">
      <c r="A2" t="s">
        <v>15</v>
      </c>
      <c r="B2" t="s">
        <v>229</v>
      </c>
    </row>
    <row r="3" spans="1:2" ht="12.75">
      <c r="A3" t="s">
        <v>21</v>
      </c>
      <c r="B3" t="s">
        <v>315</v>
      </c>
    </row>
    <row r="4" spans="1:2" ht="12.75">
      <c r="A4" t="s">
        <v>21</v>
      </c>
      <c r="B4" t="s">
        <v>231</v>
      </c>
    </row>
    <row r="5" spans="1:2" ht="12.75">
      <c r="A5" t="s">
        <v>14</v>
      </c>
      <c r="B5" t="s">
        <v>316</v>
      </c>
    </row>
    <row r="6" spans="1:2" ht="12.75">
      <c r="A6" t="s">
        <v>4</v>
      </c>
      <c r="B6" t="s">
        <v>230</v>
      </c>
    </row>
    <row r="7" spans="1:2" ht="12.75">
      <c r="A7" t="s">
        <v>25</v>
      </c>
      <c r="B7" t="s">
        <v>232</v>
      </c>
    </row>
    <row r="8" spans="1:2" ht="12.75">
      <c r="A8" t="s">
        <v>26</v>
      </c>
      <c r="B8" t="s">
        <v>233</v>
      </c>
    </row>
    <row r="9" spans="1:2" ht="12.75">
      <c r="A9" t="s">
        <v>27</v>
      </c>
      <c r="B9" t="s">
        <v>234</v>
      </c>
    </row>
    <row r="10" spans="1:2" ht="12.75">
      <c r="A10" t="s">
        <v>224</v>
      </c>
      <c r="B10" t="s">
        <v>235</v>
      </c>
    </row>
    <row r="11" spans="1:2" ht="12.75">
      <c r="A11" t="s">
        <v>24</v>
      </c>
      <c r="B11" t="s">
        <v>236</v>
      </c>
    </row>
    <row r="12" spans="1:2" ht="12.75">
      <c r="A12" t="s">
        <v>226</v>
      </c>
      <c r="B12" t="s">
        <v>237</v>
      </c>
    </row>
    <row r="13" spans="1:2" ht="12.75">
      <c r="A13" t="s">
        <v>30</v>
      </c>
      <c r="B13" t="s">
        <v>238</v>
      </c>
    </row>
    <row r="14" spans="1:2" ht="12.75">
      <c r="A14" t="s">
        <v>225</v>
      </c>
      <c r="B14" t="s">
        <v>239</v>
      </c>
    </row>
    <row r="15" spans="1:2" ht="12.75">
      <c r="A15" t="s">
        <v>29</v>
      </c>
      <c r="B15" t="s">
        <v>240</v>
      </c>
    </row>
    <row r="16" spans="1:2" ht="12.75">
      <c r="A16" t="s">
        <v>16</v>
      </c>
      <c r="B16" t="s">
        <v>241</v>
      </c>
    </row>
    <row r="17" spans="1:2" ht="12.75">
      <c r="A17" t="s">
        <v>29</v>
      </c>
      <c r="B17" t="s">
        <v>317</v>
      </c>
    </row>
    <row r="18" spans="1:2" ht="12.75">
      <c r="A18" t="s">
        <v>14</v>
      </c>
      <c r="B18" t="s">
        <v>318</v>
      </c>
    </row>
    <row r="19" spans="1:2" ht="12.75">
      <c r="A19" t="s">
        <v>17</v>
      </c>
      <c r="B19" t="s">
        <v>242</v>
      </c>
    </row>
    <row r="20" spans="1:2" ht="12.75">
      <c r="A20" t="s">
        <v>17</v>
      </c>
      <c r="B20" t="s">
        <v>242</v>
      </c>
    </row>
    <row r="21" spans="1:2" ht="12.75">
      <c r="A21" t="s">
        <v>223</v>
      </c>
      <c r="B21" t="s">
        <v>243</v>
      </c>
    </row>
    <row r="22" spans="1:2" ht="12.75">
      <c r="A22" t="s">
        <v>18</v>
      </c>
      <c r="B22" t="s">
        <v>244</v>
      </c>
    </row>
    <row r="23" spans="1:2" ht="12.75">
      <c r="A23" t="s">
        <v>325</v>
      </c>
      <c r="B23" t="s">
        <v>319</v>
      </c>
    </row>
    <row r="24" spans="1:2" ht="12.75">
      <c r="A24" t="s">
        <v>326</v>
      </c>
      <c r="B24" t="s">
        <v>320</v>
      </c>
    </row>
    <row r="25" spans="1:2" ht="12.75">
      <c r="A25" t="s">
        <v>23</v>
      </c>
      <c r="B25" t="s">
        <v>245</v>
      </c>
    </row>
    <row r="26" spans="1:2" ht="12.75">
      <c r="A26" t="s">
        <v>23</v>
      </c>
      <c r="B26" t="s">
        <v>321</v>
      </c>
    </row>
    <row r="27" spans="1:2" ht="12.75">
      <c r="A27" t="s">
        <v>28</v>
      </c>
      <c r="B27" t="s">
        <v>246</v>
      </c>
    </row>
    <row r="28" spans="1:2" ht="12.75">
      <c r="A28" t="s">
        <v>327</v>
      </c>
      <c r="B28" t="s">
        <v>322</v>
      </c>
    </row>
    <row r="29" spans="1:2" ht="12.75">
      <c r="A29" t="s">
        <v>328</v>
      </c>
      <c r="B29" t="s">
        <v>323</v>
      </c>
    </row>
    <row r="30" spans="1:2" ht="12.75">
      <c r="A30" t="s">
        <v>329</v>
      </c>
      <c r="B30" t="s">
        <v>324</v>
      </c>
    </row>
    <row r="100" spans="1:3" ht="12.75">
      <c r="A100" t="s">
        <v>386</v>
      </c>
      <c r="B100" s="96" t="s">
        <v>395</v>
      </c>
      <c r="C100" t="s">
        <v>405</v>
      </c>
    </row>
    <row r="101" spans="1:3" ht="12.75">
      <c r="A101" t="s">
        <v>305</v>
      </c>
      <c r="B101" s="96" t="s">
        <v>271</v>
      </c>
      <c r="C101" t="s">
        <v>405</v>
      </c>
    </row>
    <row r="102" spans="1:3" ht="12.75">
      <c r="A102" t="s">
        <v>372</v>
      </c>
      <c r="B102" t="s">
        <v>373</v>
      </c>
      <c r="C102" t="s">
        <v>404</v>
      </c>
    </row>
    <row r="103" spans="1:3" ht="12.75">
      <c r="A103" t="s">
        <v>306</v>
      </c>
      <c r="B103" s="96" t="s">
        <v>303</v>
      </c>
      <c r="C103" t="s">
        <v>405</v>
      </c>
    </row>
    <row r="104" spans="1:3" ht="12.75">
      <c r="A104" t="s">
        <v>307</v>
      </c>
      <c r="B104" s="96" t="s">
        <v>272</v>
      </c>
      <c r="C104" t="s">
        <v>405</v>
      </c>
    </row>
    <row r="105" spans="1:3" ht="12.75">
      <c r="A105" t="s">
        <v>308</v>
      </c>
      <c r="B105" s="96" t="s">
        <v>273</v>
      </c>
      <c r="C105" t="s">
        <v>405</v>
      </c>
    </row>
    <row r="106" spans="1:3" ht="12.75">
      <c r="A106" t="s">
        <v>387</v>
      </c>
      <c r="B106" s="96" t="s">
        <v>396</v>
      </c>
      <c r="C106" t="s">
        <v>405</v>
      </c>
    </row>
    <row r="107" spans="1:3" ht="12.75">
      <c r="A107" t="s">
        <v>309</v>
      </c>
      <c r="B107" s="96" t="s">
        <v>274</v>
      </c>
      <c r="C107" t="s">
        <v>405</v>
      </c>
    </row>
    <row r="108" spans="1:3" ht="12.75">
      <c r="A108" t="s">
        <v>374</v>
      </c>
      <c r="B108" t="s">
        <v>375</v>
      </c>
      <c r="C108" t="s">
        <v>404</v>
      </c>
    </row>
    <row r="109" spans="1:3" ht="12.75">
      <c r="A109" t="s">
        <v>388</v>
      </c>
      <c r="B109" s="96" t="s">
        <v>397</v>
      </c>
      <c r="C109" t="s">
        <v>405</v>
      </c>
    </row>
    <row r="110" spans="1:3" ht="12.75">
      <c r="A110" t="s">
        <v>310</v>
      </c>
      <c r="B110" s="96" t="s">
        <v>275</v>
      </c>
      <c r="C110" t="s">
        <v>405</v>
      </c>
    </row>
    <row r="111" spans="1:3" ht="12.75">
      <c r="A111" t="s">
        <v>311</v>
      </c>
      <c r="B111" s="96" t="s">
        <v>276</v>
      </c>
      <c r="C111" t="s">
        <v>405</v>
      </c>
    </row>
    <row r="112" spans="1:3" ht="12.75">
      <c r="A112" t="s">
        <v>389</v>
      </c>
      <c r="B112" s="96" t="s">
        <v>398</v>
      </c>
      <c r="C112" t="s">
        <v>405</v>
      </c>
    </row>
    <row r="113" spans="1:3" ht="12.75">
      <c r="A113" t="s">
        <v>390</v>
      </c>
      <c r="B113" s="96" t="s">
        <v>399</v>
      </c>
      <c r="C113" t="s">
        <v>405</v>
      </c>
    </row>
    <row r="114" spans="1:3" ht="12.75">
      <c r="A114" t="s">
        <v>312</v>
      </c>
      <c r="B114" s="96" t="s">
        <v>277</v>
      </c>
      <c r="C114" t="s">
        <v>405</v>
      </c>
    </row>
    <row r="115" spans="1:3" ht="12.75">
      <c r="A115" t="s">
        <v>376</v>
      </c>
      <c r="B115" t="s">
        <v>377</v>
      </c>
      <c r="C115" t="s">
        <v>404</v>
      </c>
    </row>
    <row r="116" spans="1:3" ht="12.75">
      <c r="A116" t="s">
        <v>279</v>
      </c>
      <c r="B116" s="96" t="s">
        <v>400</v>
      </c>
      <c r="C116" t="s">
        <v>405</v>
      </c>
    </row>
    <row r="117" spans="1:3" ht="12.75">
      <c r="A117" t="s">
        <v>391</v>
      </c>
      <c r="B117" s="96" t="s">
        <v>401</v>
      </c>
      <c r="C117" t="s">
        <v>405</v>
      </c>
    </row>
    <row r="118" spans="1:3" ht="12.75">
      <c r="A118" t="s">
        <v>392</v>
      </c>
      <c r="B118" s="96" t="s">
        <v>403</v>
      </c>
      <c r="C118" t="s">
        <v>405</v>
      </c>
    </row>
    <row r="119" spans="1:3" ht="12.75">
      <c r="A119" t="s">
        <v>393</v>
      </c>
      <c r="B119" s="96" t="s">
        <v>402</v>
      </c>
      <c r="C119" t="s">
        <v>405</v>
      </c>
    </row>
    <row r="120" spans="1:3" ht="12.75">
      <c r="A120" t="s">
        <v>279</v>
      </c>
      <c r="B120" t="s">
        <v>378</v>
      </c>
      <c r="C120" t="s">
        <v>404</v>
      </c>
    </row>
    <row r="121" spans="1:3" ht="12.75">
      <c r="A121" t="s">
        <v>379</v>
      </c>
      <c r="B121" t="s">
        <v>380</v>
      </c>
      <c r="C121" t="s">
        <v>404</v>
      </c>
    </row>
    <row r="122" spans="1:3" ht="12.75">
      <c r="A122" t="s">
        <v>280</v>
      </c>
      <c r="B122" s="96" t="s">
        <v>381</v>
      </c>
      <c r="C122" t="s">
        <v>405</v>
      </c>
    </row>
    <row r="123" spans="1:3" ht="12.75">
      <c r="A123" t="s">
        <v>281</v>
      </c>
      <c r="B123" s="96" t="s">
        <v>382</v>
      </c>
      <c r="C123" t="s">
        <v>405</v>
      </c>
    </row>
    <row r="124" spans="1:3" ht="12.75">
      <c r="A124" t="s">
        <v>282</v>
      </c>
      <c r="B124" s="96" t="s">
        <v>383</v>
      </c>
      <c r="C124" t="s">
        <v>405</v>
      </c>
    </row>
    <row r="125" spans="1:3" ht="12.75">
      <c r="A125" t="s">
        <v>283</v>
      </c>
      <c r="B125" s="96" t="s">
        <v>384</v>
      </c>
      <c r="C125" t="s">
        <v>405</v>
      </c>
    </row>
    <row r="126" spans="1:3" ht="12.75">
      <c r="A126" t="s">
        <v>416</v>
      </c>
      <c r="B126" s="96" t="s">
        <v>417</v>
      </c>
      <c r="C126" t="s">
        <v>418</v>
      </c>
    </row>
    <row r="127" spans="1:3" ht="12.75">
      <c r="A127" t="s">
        <v>394</v>
      </c>
      <c r="B127" s="96" t="s">
        <v>385</v>
      </c>
      <c r="C127" t="s">
        <v>405</v>
      </c>
    </row>
    <row r="128" spans="1:3" ht="12.75">
      <c r="A128" t="s">
        <v>313</v>
      </c>
      <c r="B128" s="96" t="s">
        <v>304</v>
      </c>
      <c r="C128" t="s">
        <v>405</v>
      </c>
    </row>
    <row r="129" spans="1:3" ht="12.75">
      <c r="A129" t="s">
        <v>314</v>
      </c>
      <c r="B129" s="96" t="s">
        <v>278</v>
      </c>
      <c r="C129" t="s">
        <v>405</v>
      </c>
    </row>
    <row r="130" ht="12.75">
      <c r="B130" s="96"/>
    </row>
    <row r="132" ht="12.75">
      <c r="B132" s="96"/>
    </row>
    <row r="133" ht="12.75">
      <c r="B133" s="96"/>
    </row>
    <row r="136" ht="12.75">
      <c r="B136" s="96"/>
    </row>
    <row r="137" ht="12.75">
      <c r="B137" s="96"/>
    </row>
    <row r="138" ht="12.75">
      <c r="B138" s="96"/>
    </row>
    <row r="139" ht="12.75">
      <c r="B139" s="96"/>
    </row>
    <row r="140" ht="12.75">
      <c r="B140" s="96"/>
    </row>
    <row r="141" ht="12.75">
      <c r="B141" s="96"/>
    </row>
    <row r="142" ht="12.75">
      <c r="B142" s="96"/>
    </row>
  </sheetData>
  <sheetProtection/>
  <conditionalFormatting sqref="B3">
    <cfRule type="duplicateValues" priority="8" dxfId="9" stopIfTrue="1">
      <formula>AND(COUNTIF($B$3:$B$3,B3)&gt;1,NOT(ISBLANK(B3)))</formula>
    </cfRule>
  </conditionalFormatting>
  <conditionalFormatting sqref="B17:B18">
    <cfRule type="duplicateValues" priority="7" dxfId="9" stopIfTrue="1">
      <formula>AND(COUNTIF($B$17:$B$18,B17)&gt;1,NOT(ISBLANK(B17)))</formula>
    </cfRule>
  </conditionalFormatting>
  <conditionalFormatting sqref="B23:B24">
    <cfRule type="duplicateValues" priority="6" dxfId="9" stopIfTrue="1">
      <formula>AND(COUNTIF($B$23:$B$24,B23)&gt;1,NOT(ISBLANK(B23)))</formula>
    </cfRule>
  </conditionalFormatting>
  <conditionalFormatting sqref="B26">
    <cfRule type="duplicateValues" priority="5" dxfId="9" stopIfTrue="1">
      <formula>AND(COUNTIF($B$26:$B$26,B26)&gt;1,NOT(ISBLANK(B26)))</formula>
    </cfRule>
  </conditionalFormatting>
  <conditionalFormatting sqref="B28:B30">
    <cfRule type="duplicateValues" priority="4" dxfId="9" stopIfTrue="1">
      <formula>AND(COUNTIF($B$28:$B$30,B28)&gt;1,NOT(ISBLANK(B28)))</formula>
    </cfRule>
  </conditionalFormatting>
  <conditionalFormatting sqref="G2:G21 G23:G30">
    <cfRule type="duplicateValues" priority="10" dxfId="9" stopIfTrue="1">
      <formula>AND(COUNTIF($G$2:$G$21,G2)+COUNTIF($G$23:$G$30,G2)&gt;1,NOT(ISBLANK(G2)))</formula>
    </cfRule>
  </conditionalFormatting>
  <conditionalFormatting sqref="B100:B117 B130">
    <cfRule type="duplicateValues" priority="11" dxfId="9" stopIfTrue="1">
      <formula>AND(COUNTIF($B$100:$B$117,B100)+COUNTIF($B$130:$B$130,B100)&gt;1,NOT(ISBLANK(B100)))</formula>
    </cfRule>
  </conditionalFormatting>
  <conditionalFormatting sqref="B132:B142">
    <cfRule type="duplicateValues" priority="2" dxfId="9" stopIfTrue="1">
      <formula>AND(COUNTIF($B$132:$B$142,B132)&gt;1,NOT(ISBLANK(B132)))</formula>
    </cfRule>
  </conditionalFormatting>
  <conditionalFormatting sqref="B118:B129">
    <cfRule type="duplicateValues" priority="1" dxfId="9" stopIfTrue="1">
      <formula>AND(COUNTIF($B$118:$B$129,B118)&gt;1,NOT(ISBLANK(B118)))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F3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6.875" style="0" customWidth="1"/>
    <col min="5" max="5" width="11.125" style="0" customWidth="1"/>
    <col min="6" max="6" width="9.625" style="0" bestFit="1" customWidth="1"/>
  </cols>
  <sheetData>
    <row r="1" spans="1:3" ht="12.75">
      <c r="A1" s="1" t="s">
        <v>284</v>
      </c>
      <c r="B1" s="1" t="s">
        <v>289</v>
      </c>
      <c r="C1" s="1" t="s">
        <v>290</v>
      </c>
    </row>
    <row r="2" spans="1:3" ht="12.75">
      <c r="A2" s="67" t="s">
        <v>295</v>
      </c>
      <c r="B2" s="68">
        <f>SUMIF(отчет!$B56:$B138,"\0102*",отчет!C57:C135)</f>
        <v>849000</v>
      </c>
      <c r="C2" s="68">
        <f>SUMIF(отчет!$B56:$B138,"\0102*",отчет!E57:E135)</f>
        <v>178247.94999999998</v>
      </c>
    </row>
    <row r="3" spans="1:3" ht="12.75">
      <c r="A3" s="67" t="s">
        <v>294</v>
      </c>
      <c r="B3" s="68">
        <f>SUMIF(отчет!$B57:$B139,"\0104*",отчет!C57:C135)</f>
        <v>1367100</v>
      </c>
      <c r="C3" s="68">
        <f>SUMIF(отчет!$B57:$B139,"\0104*",отчет!E57:E135)</f>
        <v>294895.66000000003</v>
      </c>
    </row>
    <row r="4" spans="1:3" ht="12.75">
      <c r="A4" s="67" t="s">
        <v>296</v>
      </c>
      <c r="B4" s="68">
        <f>SUMIF(отчет!$B58:$B140,"\0203*",отчет!C57:C135)</f>
        <v>86500</v>
      </c>
      <c r="C4" s="68">
        <f>SUMIF(отчет!$B58:$B140,"\0203*",отчет!E57:E135)</f>
        <v>34882.7</v>
      </c>
    </row>
    <row r="5" spans="1:3" ht="12.75">
      <c r="A5" s="67"/>
      <c r="B5" s="68"/>
      <c r="C5" s="68"/>
    </row>
    <row r="6" spans="1:3" ht="12.75">
      <c r="A6" s="69" t="s">
        <v>285</v>
      </c>
      <c r="B6" s="70">
        <f>SUMIF(отчет!$B57:$B139,"\0102*\211*",отчет!C57:C139)</f>
        <v>476000</v>
      </c>
      <c r="C6" s="70">
        <f>SUMIF(отчет!$B57:$B139,"\0102*\211*",отчет!E57:E139)</f>
        <v>116917</v>
      </c>
    </row>
    <row r="7" spans="1:3" ht="12.75">
      <c r="A7" s="69" t="s">
        <v>286</v>
      </c>
      <c r="B7" s="70">
        <f>SUMIF(отчет!$B57:$B139,"\0102*\213*",отчет!C57:C139)</f>
        <v>144000</v>
      </c>
      <c r="C7" s="70">
        <f>SUMIF(отчет!$B57:$B139,"\0102*\213*",отчет!E57:E139)</f>
        <v>20004.9</v>
      </c>
    </row>
    <row r="8" spans="1:3" ht="12.75">
      <c r="A8" s="69" t="s">
        <v>287</v>
      </c>
      <c r="B8" s="70">
        <f>SUMIF(отчет!$B57:$B139,"\0104*\211*",отчет!C57:C139)</f>
        <v>705000</v>
      </c>
      <c r="C8" s="70">
        <f>SUMIF(отчет!$B57:$B139,"\0104*\211*",отчет!E57:E139)</f>
        <v>158243.05</v>
      </c>
    </row>
    <row r="9" spans="1:3" ht="12.75">
      <c r="A9" s="69" t="s">
        <v>288</v>
      </c>
      <c r="B9" s="70">
        <f>SUMIF(отчет!$B57:$B139,"\0104*\213*",отчет!C57:C139)</f>
        <v>214000</v>
      </c>
      <c r="C9" s="70">
        <f>SUMIF(отчет!$B57:$B139,"\0104*\213*",отчет!E57:E139)</f>
        <v>27900.54</v>
      </c>
    </row>
    <row r="10" spans="1:3" ht="12.75">
      <c r="A10" s="69" t="s">
        <v>291</v>
      </c>
      <c r="B10" s="70">
        <f>SUMIF(отчет!$B57:$B139,"\0203*\211*",отчет!C57:C139)</f>
        <v>63000</v>
      </c>
      <c r="C10" s="70">
        <f>SUMIF(отчет!$B57:$B139,"\0203*\211*",отчет!E57:E139)</f>
        <v>11382.7</v>
      </c>
    </row>
    <row r="11" spans="1:3" ht="12.75">
      <c r="A11" s="69" t="s">
        <v>292</v>
      </c>
      <c r="B11" s="69">
        <f>SUMIF(отчет!$B57:$B139,"\0203*\213*",отчет!C57:C139)</f>
        <v>20300</v>
      </c>
      <c r="C11" s="70">
        <f>SUMIF(отчет!$B57:$B139,"\0203*\213*",отчет!E57:E139)</f>
        <v>3437.58</v>
      </c>
    </row>
    <row r="12" spans="1:3" ht="12.75">
      <c r="A12" s="1" t="s">
        <v>293</v>
      </c>
      <c r="B12" s="71">
        <f>SUMIF(отчет!$B57:$B139,"\0104*\340*",отчет!C57:C139)</f>
        <v>0</v>
      </c>
      <c r="C12" s="71">
        <f>SUMIF(отчет!$B57:$B139,"\0104*\340*",отчет!E57:E139)</f>
        <v>0</v>
      </c>
    </row>
    <row r="13" spans="2:3" ht="12.75">
      <c r="B13" s="3"/>
      <c r="C13" s="3"/>
    </row>
    <row r="14" ht="12.75">
      <c r="A14" s="24" t="s">
        <v>297</v>
      </c>
    </row>
    <row r="15" spans="1:3" ht="12.75">
      <c r="A15" t="s">
        <v>284</v>
      </c>
      <c r="B15" t="s">
        <v>289</v>
      </c>
      <c r="C15" t="s">
        <v>290</v>
      </c>
    </row>
    <row r="16" spans="1:6" ht="12.75">
      <c r="A16" s="1" t="s">
        <v>298</v>
      </c>
      <c r="B16" s="3"/>
      <c r="C16" s="3">
        <f>SUMIF(отчет!$B57:$B139,"\0104*\242*",отчет!E57:E139)</f>
        <v>36753.42</v>
      </c>
      <c r="E16" s="3"/>
      <c r="F16" s="3"/>
    </row>
    <row r="17" spans="1:6" ht="12.75">
      <c r="A17" s="23" t="s">
        <v>299</v>
      </c>
      <c r="B17" s="3"/>
      <c r="C17" s="3"/>
      <c r="E17" s="3"/>
      <c r="F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111</cp:lastModifiedBy>
  <cp:lastPrinted>2019-04-10T04:35:57Z</cp:lastPrinted>
  <dcterms:created xsi:type="dcterms:W3CDTF">2005-06-22T03:07:45Z</dcterms:created>
  <dcterms:modified xsi:type="dcterms:W3CDTF">2019-04-11T12:29:09Z</dcterms:modified>
  <cp:category/>
  <cp:version/>
  <cp:contentType/>
  <cp:contentStatus/>
</cp:coreProperties>
</file>